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5" windowWidth="16185" windowHeight="8280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Calcs!$A$1:$Y$191</definedName>
    <definedName name="_xlnm.Print_Area" localSheetId="3">RPI!$A$1:$V$51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45621"/>
</workbook>
</file>

<file path=xl/calcChain.xml><?xml version="1.0" encoding="utf-8"?>
<calcChain xmlns="http://schemas.openxmlformats.org/spreadsheetml/2006/main">
  <c r="M126" i="5" l="1"/>
  <c r="L126" i="5"/>
  <c r="K13" i="4" l="1"/>
  <c r="M140" i="5" l="1"/>
  <c r="N140" i="5"/>
  <c r="O140" i="5"/>
  <c r="P140" i="5"/>
  <c r="M141" i="5"/>
  <c r="N141" i="5"/>
  <c r="O141" i="5"/>
  <c r="P141" i="5"/>
  <c r="L141" i="5"/>
  <c r="L140" i="5" l="1"/>
  <c r="L23" i="5" l="1"/>
  <c r="L22" i="5"/>
  <c r="E23" i="5"/>
  <c r="E22" i="5"/>
  <c r="H105" i="4" l="1"/>
  <c r="P147" i="4" l="1"/>
  <c r="O147" i="4"/>
  <c r="N147" i="4"/>
  <c r="M147" i="4"/>
  <c r="L147" i="4"/>
  <c r="P7" i="4" l="1"/>
  <c r="M38" i="8" l="1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K40" i="7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J40" i="7"/>
  <c r="I40" i="7"/>
  <c r="K39" i="7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J39" i="7"/>
  <c r="I39" i="7"/>
  <c r="K38" i="7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J38" i="7"/>
  <c r="I38" i="7"/>
  <c r="K37" i="7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J37" i="7"/>
  <c r="I37" i="7"/>
  <c r="K36" i="7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J36" i="7"/>
  <c r="I36" i="7"/>
  <c r="H36" i="7"/>
  <c r="K35" i="7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J35" i="7"/>
  <c r="I35" i="7"/>
  <c r="K34" i="7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J34" i="7"/>
  <c r="I34" i="7"/>
  <c r="K33" i="7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J33" i="7"/>
  <c r="I33" i="7"/>
  <c r="K32" i="7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J32" i="7"/>
  <c r="I32" i="7"/>
  <c r="K31" i="7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J31" i="7"/>
  <c r="I31" i="7"/>
  <c r="K30" i="7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J30" i="7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 l="1"/>
  <c r="G193" i="5"/>
  <c r="G192" i="5"/>
  <c r="K41" i="7"/>
  <c r="I41" i="7"/>
  <c r="L29" i="7"/>
  <c r="L41" i="7" s="1"/>
  <c r="J41" i="7"/>
  <c r="H104" i="4"/>
  <c r="H96" i="4"/>
  <c r="G40" i="5" s="1"/>
  <c r="H121" i="4"/>
  <c r="L49" i="7" l="1"/>
  <c r="L19" i="5" s="1"/>
  <c r="I49" i="7"/>
  <c r="K49" i="7"/>
  <c r="J49" i="7"/>
  <c r="G57" i="5"/>
  <c r="G39" i="5"/>
  <c r="G44" i="5"/>
  <c r="G52" i="5"/>
  <c r="L136" i="5" s="1"/>
  <c r="L144" i="5" s="1"/>
  <c r="H115" i="4"/>
  <c r="M29" i="7"/>
  <c r="N29" i="7" s="1"/>
  <c r="L15" i="5" l="1"/>
  <c r="L31" i="5" s="1"/>
  <c r="L180" i="5"/>
  <c r="L183" i="5" s="1"/>
  <c r="L18" i="5"/>
  <c r="L14" i="5"/>
  <c r="M41" i="7"/>
  <c r="M49" i="7" s="1"/>
  <c r="K51" i="7"/>
  <c r="L51" i="7"/>
  <c r="J51" i="7"/>
  <c r="P136" i="5"/>
  <c r="P144" i="5" s="1"/>
  <c r="O136" i="5"/>
  <c r="O144" i="5" s="1"/>
  <c r="N136" i="5"/>
  <c r="N144" i="5" s="1"/>
  <c r="M136" i="5"/>
  <c r="M144" i="5" s="1"/>
  <c r="P137" i="5"/>
  <c r="P145" i="5" s="1"/>
  <c r="O137" i="5"/>
  <c r="O145" i="5" s="1"/>
  <c r="N137" i="5"/>
  <c r="N145" i="5" s="1"/>
  <c r="L137" i="5"/>
  <c r="L145" i="5" s="1"/>
  <c r="M137" i="5"/>
  <c r="M145" i="5" s="1"/>
  <c r="G56" i="5"/>
  <c r="G63" i="5"/>
  <c r="G51" i="5"/>
  <c r="H120" i="4"/>
  <c r="N41" i="7"/>
  <c r="N49" i="7" s="1"/>
  <c r="O29" i="7"/>
  <c r="M180" i="5" l="1"/>
  <c r="M183" i="5" s="1"/>
  <c r="M19" i="5"/>
  <c r="N180" i="5"/>
  <c r="N183" i="5" s="1"/>
  <c r="N19" i="5"/>
  <c r="L30" i="5"/>
  <c r="L32" i="5" s="1"/>
  <c r="M15" i="5"/>
  <c r="M18" i="5"/>
  <c r="N51" i="7"/>
  <c r="M14" i="5"/>
  <c r="M51" i="7"/>
  <c r="N14" i="5"/>
  <c r="N15" i="5"/>
  <c r="N135" i="4"/>
  <c r="N18" i="5"/>
  <c r="H119" i="4"/>
  <c r="O41" i="7"/>
  <c r="O49" i="7" s="1"/>
  <c r="P29" i="7"/>
  <c r="M31" i="5" l="1"/>
  <c r="N31" i="5"/>
  <c r="O180" i="5"/>
  <c r="O183" i="5" s="1"/>
  <c r="O19" i="5"/>
  <c r="N30" i="5"/>
  <c r="M30" i="5"/>
  <c r="O51" i="7"/>
  <c r="G46" i="5"/>
  <c r="O14" i="5"/>
  <c r="O15" i="5"/>
  <c r="O135" i="4"/>
  <c r="O18" i="5"/>
  <c r="G41" i="5"/>
  <c r="G64" i="5"/>
  <c r="P41" i="7"/>
  <c r="P49" i="7" s="1"/>
  <c r="Q29" i="7"/>
  <c r="P180" i="5" l="1"/>
  <c r="P183" i="5" s="1"/>
  <c r="P186" i="5" s="1"/>
  <c r="P19" i="5"/>
  <c r="O31" i="5"/>
  <c r="O30" i="5"/>
  <c r="M32" i="5"/>
  <c r="G65" i="5"/>
  <c r="N32" i="5"/>
  <c r="P14" i="5"/>
  <c r="P15" i="5"/>
  <c r="P135" i="4"/>
  <c r="P18" i="5"/>
  <c r="P51" i="7"/>
  <c r="L148" i="5"/>
  <c r="L162" i="5" s="1"/>
  <c r="P148" i="5"/>
  <c r="O148" i="5"/>
  <c r="N148" i="5"/>
  <c r="M148" i="5"/>
  <c r="G53" i="5"/>
  <c r="G58" i="5"/>
  <c r="H131" i="4"/>
  <c r="H132" i="4"/>
  <c r="G70" i="5"/>
  <c r="G69" i="5"/>
  <c r="G68" i="5"/>
  <c r="Q41" i="7"/>
  <c r="Q49" i="7" s="1"/>
  <c r="R29" i="7"/>
  <c r="P31" i="5" l="1"/>
  <c r="G84" i="5" s="1"/>
  <c r="G85" i="5" s="1"/>
  <c r="G87" i="5" s="1"/>
  <c r="G88" i="5" s="1"/>
  <c r="G94" i="5" s="1"/>
  <c r="P152" i="5"/>
  <c r="P162" i="5"/>
  <c r="N152" i="5"/>
  <c r="N162" i="5"/>
  <c r="P30" i="5"/>
  <c r="O152" i="5"/>
  <c r="O162" i="5"/>
  <c r="M152" i="5"/>
  <c r="M162" i="5"/>
  <c r="L156" i="5"/>
  <c r="L166" i="5" s="1"/>
  <c r="L170" i="5" s="1"/>
  <c r="O32" i="5"/>
  <c r="Q51" i="7"/>
  <c r="L152" i="5"/>
  <c r="N156" i="5"/>
  <c r="M156" i="5"/>
  <c r="O156" i="5"/>
  <c r="P156" i="5"/>
  <c r="M98" i="5"/>
  <c r="L98" i="5"/>
  <c r="N98" i="5"/>
  <c r="O98" i="5"/>
  <c r="P98" i="5"/>
  <c r="N97" i="5"/>
  <c r="O97" i="5"/>
  <c r="P97" i="5"/>
  <c r="M97" i="5"/>
  <c r="L97" i="5"/>
  <c r="P149" i="5"/>
  <c r="L149" i="5"/>
  <c r="L163" i="5" s="1"/>
  <c r="O149" i="5"/>
  <c r="N149" i="5"/>
  <c r="M149" i="5"/>
  <c r="N140" i="4"/>
  <c r="P140" i="4"/>
  <c r="O140" i="4"/>
  <c r="R41" i="7"/>
  <c r="R49" i="7" s="1"/>
  <c r="S29" i="7"/>
  <c r="P32" i="5" l="1"/>
  <c r="N153" i="5"/>
  <c r="N163" i="5"/>
  <c r="P153" i="5"/>
  <c r="P163" i="5"/>
  <c r="O153" i="5"/>
  <c r="O163" i="5"/>
  <c r="M153" i="5"/>
  <c r="M163" i="5"/>
  <c r="G77" i="5"/>
  <c r="G78" i="5" s="1"/>
  <c r="G80" i="5" s="1"/>
  <c r="G81" i="5" s="1"/>
  <c r="G93" i="5" s="1"/>
  <c r="G101" i="5" s="1"/>
  <c r="L105" i="5" s="1"/>
  <c r="L109" i="5" s="1"/>
  <c r="R51" i="7"/>
  <c r="L153" i="5"/>
  <c r="O123" i="5"/>
  <c r="O126" i="5" s="1"/>
  <c r="M166" i="5"/>
  <c r="P123" i="5"/>
  <c r="P126" i="5" s="1"/>
  <c r="N123" i="5"/>
  <c r="N126" i="5" s="1"/>
  <c r="O157" i="5"/>
  <c r="L157" i="5"/>
  <c r="M157" i="5"/>
  <c r="P157" i="5"/>
  <c r="N157" i="5"/>
  <c r="P166" i="5"/>
  <c r="N166" i="5"/>
  <c r="O166" i="5"/>
  <c r="G102" i="5"/>
  <c r="S41" i="7"/>
  <c r="S49" i="7" s="1"/>
  <c r="T29" i="7"/>
  <c r="N167" i="5" l="1"/>
  <c r="N171" i="5" s="1"/>
  <c r="O167" i="5"/>
  <c r="O171" i="5" s="1"/>
  <c r="P167" i="5"/>
  <c r="P171" i="5" s="1"/>
  <c r="M167" i="5"/>
  <c r="S51" i="7"/>
  <c r="L167" i="5"/>
  <c r="L171" i="5" s="1"/>
  <c r="P130" i="5"/>
  <c r="N106" i="5"/>
  <c r="N110" i="5" s="1"/>
  <c r="P106" i="5"/>
  <c r="P110" i="5" s="1"/>
  <c r="M106" i="5"/>
  <c r="M110" i="5" s="1"/>
  <c r="L106" i="5"/>
  <c r="L110" i="5" s="1"/>
  <c r="O106" i="5"/>
  <c r="O110" i="5" s="1"/>
  <c r="M171" i="5"/>
  <c r="T41" i="7"/>
  <c r="T49" i="7" s="1"/>
  <c r="U29" i="7"/>
  <c r="U41" i="7" s="1"/>
  <c r="U49" i="7" s="1"/>
  <c r="U51" i="7" l="1"/>
  <c r="T51" i="7"/>
  <c r="P114" i="5"/>
  <c r="P175" i="5"/>
  <c r="P198" i="5" l="1"/>
  <c r="P203" i="5"/>
  <c r="I3" i="4"/>
  <c r="I3" i="7"/>
  <c r="I3" i="5"/>
  <c r="P19" i="8" l="1"/>
  <c r="P12" i="8"/>
  <c r="O105" i="5"/>
  <c r="O109" i="5" s="1"/>
  <c r="N105" i="5"/>
  <c r="N109" i="5" s="1"/>
  <c r="M105" i="5"/>
  <c r="M109" i="5" s="1"/>
  <c r="P105" i="5"/>
  <c r="P109" i="5" s="1"/>
  <c r="P113" i="5" l="1"/>
  <c r="P170" i="5"/>
  <c r="M170" i="5"/>
  <c r="N170" i="5"/>
  <c r="O170" i="5"/>
  <c r="P174" i="5" l="1"/>
  <c r="P202" i="5" s="1"/>
  <c r="P197" i="5" l="1"/>
  <c r="P11" i="8" s="1"/>
  <c r="P14" i="8" s="1"/>
  <c r="P18" i="8"/>
  <c r="P41" i="8" s="1"/>
  <c r="O45" i="7"/>
  <c r="R45" i="7"/>
  <c r="J45" i="7"/>
  <c r="Q45" i="7"/>
  <c r="I45" i="7"/>
  <c r="P45" i="7"/>
  <c r="S45" i="7"/>
  <c r="K45" i="7"/>
  <c r="N45" i="7"/>
  <c r="U45" i="7"/>
  <c r="M45" i="7"/>
  <c r="T45" i="7"/>
  <c r="L45" i="7"/>
  <c r="P21" i="8" l="1"/>
</calcChain>
</file>

<file path=xl/comments1.xml><?xml version="1.0" encoding="utf-8"?>
<comments xmlns="http://schemas.openxmlformats.org/spreadsheetml/2006/main">
  <authors>
    <author>Robert Thorp</author>
  </authors>
  <commentList>
    <comment ref="E76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</commentList>
</comments>
</file>

<file path=xl/comments2.xml><?xml version="1.0" encoding="utf-8"?>
<comments xmlns="http://schemas.openxmlformats.org/spreadsheetml/2006/main">
  <authors>
    <author>Robert Thorp</author>
  </authors>
  <commentList>
    <comment ref="L19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include TTT exclusions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</commentList>
</comments>
</file>

<file path=xl/sharedStrings.xml><?xml version="1.0" encoding="utf-8"?>
<sst xmlns="http://schemas.openxmlformats.org/spreadsheetml/2006/main" count="709" uniqueCount="375">
  <si>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</si>
  <si>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</si>
  <si>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</si>
  <si>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</si>
  <si>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</si>
  <si>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</si>
  <si>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</si>
  <si>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</si>
  <si>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</si>
  <si>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</si>
  <si>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</si>
  <si>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</si>
  <si>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</si>
  <si>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</si>
  <si>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</si>
  <si>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</si>
  <si>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</si>
  <si>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</si>
  <si>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TransitionExp.Sewerage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</si>
  <si>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</si>
  <si>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</si>
  <si>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</si>
  <si>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</si>
  <si>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</si>
  <si>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</si>
  <si>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</si>
  <si>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</si>
  <si>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</si>
  <si>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</si>
  <si>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</si>
  <si>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</si>
  <si>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</si>
  <si>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</si>
  <si>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</si>
  <si>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</si>
  <si>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</si>
  <si>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</si>
  <si>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</si>
  <si>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</si>
  <si>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</si>
  <si>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</si>
  <si>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</si>
  <si>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</si>
  <si>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</si>
  <si>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</si>
  <si>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</si>
  <si>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</si>
  <si>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</si>
  <si>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</si>
  <si>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</si>
  <si>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</si>
  <si>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</si>
  <si>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</si>
  <si>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</si>
  <si>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</si>
  <si>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</si>
  <si>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</si>
  <si>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</si>
  <si>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</si>
  <si>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</si>
  <si>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</si>
  <si>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</si>
  <si>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</si>
  <si>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</si>
  <si>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</si>
  <si>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</si>
  <si>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</si>
  <si>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</si>
  <si>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</si>
  <si>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</si>
  <si>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</si>
  <si>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</si>
  <si>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</si>
  <si>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</si>
  <si>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</si>
  <si>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</si>
  <si>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</si>
  <si>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</si>
  <si>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</si>
  <si>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</si>
  <si>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</si>
  <si>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</si>
  <si>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</si>
  <si>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</si>
  <si>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</si>
  <si>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</si>
  <si>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</si>
  <si>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</si>
  <si>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</si>
  <si>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</si>
  <si>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</si>
  <si>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</si>
  <si>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</si>
  <si>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</si>
  <si>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</si>
  <si>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</si>
  <si>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</si>
  <si>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</si>
  <si>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</si>
  <si>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</si>
  <si>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</si>
  <si>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</si>
  <si>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</si>
  <si>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</si>
  <si>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</si>
  <si>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</si>
  <si>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</si>
  <si>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</si>
  <si>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</si>
  <si>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</si>
  <si>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</si>
  <si>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</si>
  <si>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</si>
  <si>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</si>
  <si>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</si>
  <si>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</si>
  <si>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</si>
  <si>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</si>
  <si>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</si>
  <si>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</si>
  <si>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</si>
  <si>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</si>
  <si>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</si>
  <si>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</si>
  <si>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</si>
  <si>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</si>
  <si>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</si>
  <si>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</si>
  <si>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</si>
  <si>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</si>
  <si>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</si>
  <si>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</si>
  <si>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</si>
  <si>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</si>
  <si>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</si>
  <si>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</si>
  <si>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</si>
  <si>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</si>
  <si>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</si>
  <si>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</si>
  <si>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</si>
  <si>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</si>
  <si>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</si>
  <si>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</si>
  <si>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</si>
  <si>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</si>
  <si>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</si>
  <si>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</si>
  <si>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</si>
  <si>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</si>
  <si>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</si>
  <si>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</si>
  <si>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</si>
  <si>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</si>
  <si>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</si>
  <si>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</si>
  <si>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</si>
  <si>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</si>
  <si>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</si>
  <si>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</si>
  <si>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</si>
  <si>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</si>
  <si>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</si>
  <si>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</si>
  <si>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</si>
  <si>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</si>
  <si>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</si>
  <si>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</si>
  <si>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</si>
  <si>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</si>
  <si>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</si>
  <si>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</si>
  <si>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</si>
  <si>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</si>
  <si>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</si>
  <si>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</si>
  <si>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</si>
  <si>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</si>
  <si>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</si>
  <si>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</si>
  <si>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</si>
  <si>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</si>
  <si>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</si>
  <si>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</si>
  <si>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</si>
  <si>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</si>
  <si>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</si>
  <si>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</si>
  <si>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</si>
  <si>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</si>
  <si>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</si>
  <si>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</si>
  <si>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</si>
  <si>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</si>
  <si>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</si>
  <si>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</si>
  <si>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</si>
  <si>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</si>
  <si>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</si>
  <si>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</si>
  <si>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</si>
  <si>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</si>
  <si>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</si>
  <si>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</si>
  <si>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</si>
  <si>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</si>
  <si>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</si>
  <si>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</si>
  <si>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</si>
  <si>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</si>
  <si>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</si>
  <si>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</si>
  <si>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</si>
  <si>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</si>
  <si>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</si>
  <si>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</si>
  <si>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</si>
  <si>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</si>
  <si>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</si>
  <si>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Sewerage: Transition expenditure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</si>
  <si>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</si>
  <si>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</si>
  <si>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</si>
  <si>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</si>
  <si>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</si>
  <si>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</si>
  <si>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</si>
  <si>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</si>
  <si>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</si>
  <si>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</si>
  <si>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</si>
  <si>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</si>
  <si>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</si>
  <si>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</si>
  <si>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</si>
  <si>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</si>
  <si>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</si>
  <si>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</si>
  <si>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</si>
  <si>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</si>
  <si>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</si>
  <si>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</si>
  <si>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</si>
  <si>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</si>
  <si>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</si>
  <si>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</si>
  <si>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</si>
  <si>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</si>
  <si>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</si>
  <si>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</si>
  <si>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</si>
  <si>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</si>
  <si>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</si>
  <si>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</si>
  <si>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</si>
  <si>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</si>
  <si>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</si>
  <si>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</si>
  <si>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</si>
  <si>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</si>
  <si>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</si>
  <si>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</si>
  <si>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</si>
  <si>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</si>
  <si>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</si>
  <si>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</si>
  <si>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</si>
  <si>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</si>
  <si>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</si>
  <si>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</si>
  <si>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</si>
  <si>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</si>
  <si>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</si>
  <si>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</si>
  <si>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</si>
  <si>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</si>
  <si>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</si>
  <si>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</si>
  <si>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</si>
  <si>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</si>
  <si>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</si>
  <si>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</si>
  <si>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</si>
  <si>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</si>
  <si>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</si>
  <si>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</si>
  <si>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</si>
  <si>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</si>
  <si>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</si>
  <si>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</si>
  <si>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</si>
  <si>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</si>
  <si>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</si>
  <si>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</si>
  <si>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</si>
  <si>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</si>
  <si>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</si>
  <si>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</si>
  <si>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</si>
  <si>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</si>
  <si>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</si>
  <si>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</si>
  <si>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</si>
  <si>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</si>
  <si>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</si>
  <si>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</si>
  <si>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</si>
  <si>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</si>
  <si>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</si>
  <si>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</si>
  <si>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</si>
  <si>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</si>
  <si>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</si>
  <si>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</si>
  <si>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</si>
  <si>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</si>
  <si>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</si>
  <si>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</si>
  <si>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</si>
  <si>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</si>
  <si>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</si>
  <si>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</si>
  <si>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</si>
  <si>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</si>
  <si>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</si>
  <si>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</si>
  <si>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</si>
  <si>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</si>
  <si>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</si>
  <si>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</si>
  <si>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</si>
  <si>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</si>
  <si>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</si>
  <si>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</si>
  <si>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</si>
  <si>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</si>
  <si>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</si>
  <si>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</si>
  <si>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</si>
  <si>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</si>
  <si>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</si>
  <si>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</si>
  <si>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</si>
  <si>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</si>
  <si>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</si>
  <si>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</si>
  <si>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</si>
  <si>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</si>
  <si>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</si>
  <si>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</si>
  <si>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</si>
  <si>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</si>
  <si>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</si>
  <si>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</si>
  <si>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</si>
  <si>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</si>
  <si>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</si>
  <si>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</si>
  <si>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</si>
  <si>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</si>
  <si>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</si>
  <si>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</si>
  <si>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</si>
  <si>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</si>
  <si>
    <t>8 TTT Control - FD costs excluded from menu (that is, land costs under 100:0 sharing)</t>
  </si>
  <si>
    <t>TTT FD costs excluded from menu (that is, land costs under 100:0 sharing)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</si>
  <si>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</si>
  <si>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</si>
  <si>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</si>
  <si>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</si>
  <si>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</si>
  <si>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</si>
  <si>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</si>
  <si>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Anglian</t>
  </si>
  <si>
    <t>WaSC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</si>
</sst>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303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43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43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  <xf numFmtId="165" fontId="2" fillId="11" borderId="0" xfId="5" applyNumberFormat="1" applyFont="1" applyFill="1" applyBorder="1" applyAlignment="1" applyProtection="1">
      <alignment horizontal="right"/>
    </xf>
    <xf numFmtId="167" fontId="11" fillId="11" borderId="0" xfId="1" applyNumberFormat="1" applyFont="1" applyFill="1" applyBorder="1"/>
    <xf numFmtId="0" fontId="2" fillId="11" borderId="0" xfId="1" applyFont="1" applyFill="1" applyBorder="1" applyProtection="1">
      <protection locked="0"/>
    </xf>
    <xf numFmtId="165" fontId="2" fillId="0" borderId="0" xfId="7" quotePrefix="1" applyNumberFormat="1" applyFont="1" applyFill="1" applyBorder="1" applyAlignment="1" applyProtection="1">
      <alignment horizontal="right"/>
    </xf>
    <xf numFmtId="165" fontId="2" fillId="0" borderId="5" xfId="7" quotePrefix="1" applyNumberFormat="1" applyFont="1" applyFill="1" applyAlignment="1" applyProtection="1">
      <alignment horizontal="right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70" zoomScaleNormal="70" workbookViewId="0">
      <pane xSplit="7" ySplit="7" topLeftCell="H38" activePane="bottomRight" state="frozen"/>
      <selection activeCell="K53" sqref="K53"/>
      <selection pane="topRight" activeCell="K53" sqref="K53"/>
      <selection pane="bottomLeft" activeCell="K53" sqref="K53"/>
      <selection pane="bottomRight" activeCell="K60" sqref="K60"/>
    </sheetView>
  </sheetViews>
  <sheetFormatPr defaultColWidth="0" defaultRowHeight="12.75" zeroHeight="1"/>
  <cols>
    <col min="1" max="2" width="3.140625" style="49" customWidth="1"/>
    <col min="3" max="3" width="3.140625" style="194" customWidth="1"/>
    <col min="4" max="4" width="10" style="49" customWidth="1"/>
    <col min="5" max="5" width="114.5703125" style="74" customWidth="1"/>
    <col min="6" max="6" width="6" style="49" customWidth="1"/>
    <col min="7" max="7" width="10.140625" style="49" customWidth="1"/>
    <col min="8" max="8" width="12.140625" style="49" customWidth="1"/>
    <col min="9" max="16" width="14.5703125" style="49" customWidth="1"/>
    <col min="17" max="21" width="13.5703125" style="49" customWidth="1"/>
    <col min="22" max="22" width="10.5703125" style="50" customWidth="1"/>
    <col min="23" max="24" width="9.140625" style="31" customWidth="1"/>
    <col min="25" max="25" width="9.140625" style="31" hidden="1" customWidth="1"/>
    <col min="26" max="27" width="13.140625" style="31" hidden="1" customWidth="1"/>
    <col min="28" max="16384" width="9.140625" style="31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245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5">
      <c r="A9" s="19"/>
      <c r="B9" s="20"/>
      <c r="C9" s="20"/>
      <c r="D9" s="21"/>
      <c r="E9" s="22" t="s">
        <v>191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>
      <c r="A11" s="13"/>
      <c r="B11" s="13"/>
      <c r="C11" s="14"/>
      <c r="D11" s="13" t="s">
        <v>4</v>
      </c>
      <c r="E11" s="17" t="s">
        <v>5</v>
      </c>
      <c r="H11" s="24" t="s">
        <v>373</v>
      </c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>
      <c r="A12" s="13"/>
      <c r="B12" s="13"/>
      <c r="C12" s="14"/>
      <c r="D12" s="13" t="s">
        <v>4</v>
      </c>
      <c r="E12" s="17" t="s">
        <v>7</v>
      </c>
      <c r="H12" s="24" t="s">
        <v>374</v>
      </c>
      <c r="I12" s="207" t="s">
        <v>8</v>
      </c>
      <c r="K12" s="25" t="b">
        <f>CompanyType="WoC"</f>
        <v>0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>
      <c r="A13" s="13"/>
      <c r="B13" s="13"/>
      <c r="C13" s="14"/>
      <c r="D13" s="13" t="s">
        <v>4</v>
      </c>
      <c r="E13" s="17" t="s">
        <v>10</v>
      </c>
      <c r="H13" s="24" t="s">
        <v>363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>
      <c r="A15" s="13"/>
      <c r="B15" s="13"/>
      <c r="C15" s="14"/>
      <c r="D15" s="13" t="s">
        <v>72</v>
      </c>
      <c r="E15" s="17" t="s">
        <v>193</v>
      </c>
      <c r="F15" s="13"/>
      <c r="G15" s="13"/>
      <c r="H15" s="217">
        <v>3.5999999999999997E-2</v>
      </c>
      <c r="I15" s="207" t="s">
        <v>184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5">
      <c r="A17" s="19"/>
      <c r="B17" s="20"/>
      <c r="C17" s="20"/>
      <c r="D17" s="21"/>
      <c r="E17" s="22" t="s">
        <v>237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5">
      <c r="A19" s="19"/>
      <c r="B19" s="20"/>
      <c r="C19" s="20"/>
      <c r="D19" s="21"/>
      <c r="E19" s="22" t="s">
        <v>238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5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>
      <c r="E21" s="127" t="s">
        <v>247</v>
      </c>
    </row>
    <row r="22" spans="1:27" s="262" customFormat="1">
      <c r="A22" s="118"/>
      <c r="B22" s="118"/>
      <c r="C22" s="118"/>
      <c r="D22" s="118" t="s">
        <v>85</v>
      </c>
      <c r="E22" s="118" t="s">
        <v>352</v>
      </c>
      <c r="F22" s="118"/>
      <c r="G22" s="118"/>
      <c r="H22" s="37">
        <v>102.86569444902828</v>
      </c>
      <c r="I22" s="126" t="s">
        <v>283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>
      <c r="A23" s="118"/>
      <c r="B23" s="118"/>
      <c r="C23" s="118"/>
      <c r="D23" s="118" t="s">
        <v>85</v>
      </c>
      <c r="E23" s="118" t="s">
        <v>353</v>
      </c>
      <c r="F23" s="118"/>
      <c r="G23" s="118"/>
      <c r="H23" s="37">
        <v>98.447216771155482</v>
      </c>
      <c r="I23" s="126" t="s">
        <v>284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>
      <c r="A25" s="118"/>
      <c r="B25" s="118"/>
      <c r="C25" s="118"/>
      <c r="D25" s="118"/>
      <c r="E25" s="280" t="s">
        <v>319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>
      <c r="A26" s="118"/>
      <c r="B26" s="118"/>
      <c r="C26" s="118"/>
      <c r="D26" s="118" t="s">
        <v>85</v>
      </c>
      <c r="E26" s="118" t="s">
        <v>325</v>
      </c>
      <c r="F26" s="35" t="s">
        <v>14</v>
      </c>
      <c r="G26" s="118"/>
      <c r="H26" s="126"/>
      <c r="I26" s="126"/>
      <c r="J26" s="118"/>
      <c r="K26" s="118"/>
      <c r="L26" s="37">
        <v>7.5068864991291999</v>
      </c>
      <c r="M26" s="37">
        <v>7.5068864991291999</v>
      </c>
      <c r="N26" s="37">
        <v>7.5068864991291999</v>
      </c>
      <c r="O26" s="37">
        <v>7.5068864991291999</v>
      </c>
      <c r="P26" s="37">
        <v>7.5068864991291999</v>
      </c>
      <c r="Q26" s="116" t="s">
        <v>317</v>
      </c>
      <c r="R26" s="118"/>
      <c r="S26" s="118"/>
      <c r="T26" s="118"/>
      <c r="U26" s="118"/>
      <c r="V26" s="118"/>
      <c r="W26" s="118"/>
      <c r="X26" s="118"/>
    </row>
    <row r="27" spans="1:27" s="262" customFormat="1">
      <c r="A27" s="118"/>
      <c r="B27" s="118"/>
      <c r="C27" s="118"/>
      <c r="D27" s="118" t="s">
        <v>85</v>
      </c>
      <c r="E27" s="118" t="s">
        <v>326</v>
      </c>
      <c r="F27" s="35" t="s">
        <v>14</v>
      </c>
      <c r="G27" s="118"/>
      <c r="H27" s="126"/>
      <c r="I27" s="126"/>
      <c r="J27" s="118"/>
      <c r="K27" s="118"/>
      <c r="L27" s="37">
        <v>10.8597838502555</v>
      </c>
      <c r="M27" s="37">
        <v>10.8597838502555</v>
      </c>
      <c r="N27" s="37">
        <v>10.8597838502555</v>
      </c>
      <c r="O27" s="37">
        <v>10.8597838502555</v>
      </c>
      <c r="P27" s="37">
        <v>10.8597838502555</v>
      </c>
      <c r="Q27" s="116" t="s">
        <v>318</v>
      </c>
      <c r="R27" s="118"/>
      <c r="S27" s="118"/>
      <c r="T27" s="118"/>
      <c r="U27" s="118"/>
      <c r="V27" s="118"/>
      <c r="W27" s="118"/>
      <c r="X27" s="118"/>
    </row>
    <row r="28" spans="1:27" s="262" customFormat="1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5">
      <c r="A29" s="19"/>
      <c r="B29" s="20"/>
      <c r="C29" s="20"/>
      <c r="D29" s="21"/>
      <c r="E29" s="22" t="s">
        <v>239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246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>
      <c r="A32" s="47"/>
      <c r="B32" s="47"/>
      <c r="C32" s="48"/>
      <c r="D32" s="3" t="s">
        <v>85</v>
      </c>
      <c r="E32" s="118" t="s">
        <v>355</v>
      </c>
      <c r="F32" s="3"/>
      <c r="G32" s="3"/>
      <c r="H32" s="37">
        <v>102.86569444902828</v>
      </c>
      <c r="I32" s="126" t="s">
        <v>86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>
      <c r="A33" s="47"/>
      <c r="B33" s="47"/>
      <c r="C33" s="48"/>
      <c r="D33" s="3" t="s">
        <v>85</v>
      </c>
      <c r="E33" s="118" t="s">
        <v>354</v>
      </c>
      <c r="F33" s="3"/>
      <c r="G33" s="3"/>
      <c r="H33" s="37">
        <v>98.447216771155482</v>
      </c>
      <c r="I33" s="126" t="s">
        <v>87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5">
      <c r="A35" s="19"/>
      <c r="B35" s="20"/>
      <c r="C35" s="20"/>
      <c r="D35" s="21"/>
      <c r="E35" s="22" t="s">
        <v>192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5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5">
      <c r="A37" s="19"/>
      <c r="B37" s="20"/>
      <c r="C37" s="20"/>
      <c r="D37" s="21"/>
      <c r="E37" s="22" t="s">
        <v>248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>
      <c r="A39" s="26"/>
      <c r="B39" s="26"/>
      <c r="C39" s="27"/>
      <c r="D39" s="26"/>
      <c r="E39" s="28" t="s">
        <v>198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>
      <c r="A40" s="33"/>
      <c r="B40" s="33"/>
      <c r="C40" s="32"/>
      <c r="D40" s="33" t="s">
        <v>13</v>
      </c>
      <c r="E40" s="34" t="s">
        <v>264</v>
      </c>
      <c r="F40" s="35" t="s">
        <v>14</v>
      </c>
      <c r="G40" s="44"/>
      <c r="H40" s="44"/>
      <c r="I40" s="36"/>
      <c r="J40" s="36"/>
      <c r="K40" s="36"/>
      <c r="L40" s="37">
        <v>341.75382487268098</v>
      </c>
      <c r="M40" s="37">
        <v>391.30991203013002</v>
      </c>
      <c r="N40" s="37">
        <v>335.62786400668898</v>
      </c>
      <c r="O40" s="37">
        <v>298.29741950711099</v>
      </c>
      <c r="P40" s="37">
        <v>289.44516467190999</v>
      </c>
      <c r="Q40" s="116" t="s">
        <v>306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>
      <c r="A41" s="26"/>
      <c r="B41" s="26"/>
      <c r="C41" s="32"/>
      <c r="D41" s="33" t="s">
        <v>13</v>
      </c>
      <c r="E41" s="34" t="s">
        <v>265</v>
      </c>
      <c r="F41" s="35" t="s">
        <v>14</v>
      </c>
      <c r="G41" s="29"/>
      <c r="H41" s="29"/>
      <c r="I41" s="36"/>
      <c r="J41" s="36"/>
      <c r="K41" s="36"/>
      <c r="L41" s="37">
        <v>437.52331760992797</v>
      </c>
      <c r="M41" s="37">
        <v>558.83287963175997</v>
      </c>
      <c r="N41" s="37">
        <v>494.54716205404497</v>
      </c>
      <c r="O41" s="37">
        <v>508.11447096185799</v>
      </c>
      <c r="P41" s="37">
        <v>502.67562566400602</v>
      </c>
      <c r="Q41" s="116" t="s">
        <v>307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345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>
      <c r="A45" s="26"/>
      <c r="B45" s="26"/>
      <c r="C45" s="46"/>
      <c r="D45" s="26"/>
      <c r="E45" s="28" t="s">
        <v>346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>
      <c r="A46" s="26"/>
      <c r="B46" s="26"/>
      <c r="C46" s="46"/>
      <c r="D46" s="33" t="s">
        <v>13</v>
      </c>
      <c r="E46" s="34" t="s">
        <v>347</v>
      </c>
      <c r="F46" s="35" t="s">
        <v>14</v>
      </c>
      <c r="G46" s="42"/>
      <c r="H46" s="240"/>
      <c r="I46" s="42"/>
      <c r="J46" s="42"/>
      <c r="K46" s="42"/>
      <c r="L46" s="37">
        <v>349.41975636847269</v>
      </c>
      <c r="M46" s="37">
        <v>399.16979540059464</v>
      </c>
      <c r="N46" s="37">
        <v>343.06132873140791</v>
      </c>
      <c r="O46" s="37">
        <v>305.4754039725504</v>
      </c>
      <c r="P46" s="37">
        <v>296.53225937895087</v>
      </c>
      <c r="Q46" s="116" t="s">
        <v>240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>
      <c r="A47" s="26"/>
      <c r="B47" s="26"/>
      <c r="C47" s="46"/>
      <c r="D47" s="33" t="s">
        <v>13</v>
      </c>
      <c r="E47" s="34" t="s">
        <v>348</v>
      </c>
      <c r="F47" s="35" t="s">
        <v>14</v>
      </c>
      <c r="G47" s="42"/>
      <c r="H47" s="240"/>
      <c r="I47" s="42"/>
      <c r="J47" s="42"/>
      <c r="K47" s="42"/>
      <c r="L47" s="37">
        <v>436.61484532449958</v>
      </c>
      <c r="M47" s="37">
        <v>557.22118259870433</v>
      </c>
      <c r="N47" s="37">
        <v>493.20517093443505</v>
      </c>
      <c r="O47" s="37">
        <v>506.73833108470552</v>
      </c>
      <c r="P47" s="37">
        <v>501.3378185544347</v>
      </c>
      <c r="Q47" s="116" t="s">
        <v>241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5">
      <c r="A49" s="19"/>
      <c r="B49" s="20"/>
      <c r="C49" s="20"/>
      <c r="D49" s="21"/>
      <c r="E49" s="22" t="s">
        <v>236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7" s="12" customFormat="1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>
      <c r="A51" s="26"/>
      <c r="B51" s="26"/>
      <c r="C51" s="46"/>
      <c r="D51" s="26"/>
      <c r="E51" s="28" t="s">
        <v>206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>
      <c r="A52" s="26"/>
      <c r="B52" s="26"/>
      <c r="C52" s="46"/>
      <c r="D52" s="33" t="s">
        <v>13</v>
      </c>
      <c r="E52" s="34" t="s">
        <v>207</v>
      </c>
      <c r="F52" s="35" t="s">
        <v>15</v>
      </c>
      <c r="G52" s="42"/>
      <c r="H52" s="240"/>
      <c r="I52" s="42"/>
      <c r="J52" s="42"/>
      <c r="K52" s="42"/>
      <c r="L52" s="37">
        <v>316.610208948067</v>
      </c>
      <c r="M52" s="37">
        <v>366.02057071270201</v>
      </c>
      <c r="N52" s="37">
        <v>387.73500000000001</v>
      </c>
      <c r="O52" s="37">
        <v>419.84673512458454</v>
      </c>
      <c r="P52" s="37">
        <v>401.71392450762437</v>
      </c>
      <c r="Q52" s="116" t="s">
        <v>81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>
      <c r="A53" s="26"/>
      <c r="B53" s="26"/>
      <c r="C53" s="46"/>
      <c r="D53" s="33" t="s">
        <v>13</v>
      </c>
      <c r="E53" s="34" t="s">
        <v>208</v>
      </c>
      <c r="F53" s="35" t="s">
        <v>15</v>
      </c>
      <c r="G53" s="42"/>
      <c r="H53" s="240"/>
      <c r="I53" s="42"/>
      <c r="J53" s="42"/>
      <c r="K53" s="42"/>
      <c r="L53" s="37">
        <v>408.326284122586</v>
      </c>
      <c r="M53" s="37">
        <v>464.71712125504598</v>
      </c>
      <c r="N53" s="37">
        <v>540.64643572057741</v>
      </c>
      <c r="O53" s="37">
        <v>517.41398797040006</v>
      </c>
      <c r="P53" s="37">
        <v>531.20274069472566</v>
      </c>
      <c r="Q53" s="116" t="s">
        <v>83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5">
      <c r="A55" s="19"/>
      <c r="B55" s="20"/>
      <c r="C55" s="20"/>
      <c r="D55" s="21"/>
      <c r="E55" s="22" t="s">
        <v>199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5">
      <c r="A57" s="19"/>
      <c r="B57" s="20"/>
      <c r="C57" s="20"/>
      <c r="D57" s="21"/>
      <c r="E57" s="22" t="s">
        <v>305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5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>
      <c r="A59" s="47"/>
      <c r="B59" s="47"/>
      <c r="C59" s="32"/>
      <c r="D59" s="33"/>
      <c r="E59" s="123" t="s">
        <v>260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211</v>
      </c>
      <c r="F60" s="35" t="s">
        <v>15</v>
      </c>
      <c r="G60" s="47"/>
      <c r="H60" s="47"/>
      <c r="I60" s="47"/>
      <c r="J60" s="47"/>
      <c r="K60" s="56"/>
      <c r="L60" s="37">
        <v>6.2029999999999896</v>
      </c>
      <c r="M60" s="37">
        <v>5.9550000000000001</v>
      </c>
      <c r="N60" s="37">
        <v>8.3659999999999997</v>
      </c>
      <c r="O60" s="37">
        <v>10.904</v>
      </c>
      <c r="P60" s="37">
        <v>9.32</v>
      </c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>
      <c r="A61" s="47"/>
      <c r="B61" s="47"/>
      <c r="C61" s="32"/>
      <c r="D61" s="33" t="s">
        <v>13</v>
      </c>
      <c r="E61" s="34" t="s">
        <v>212</v>
      </c>
      <c r="F61" s="35" t="s">
        <v>15</v>
      </c>
      <c r="G61" s="47"/>
      <c r="H61" s="47"/>
      <c r="I61" s="47"/>
      <c r="J61" s="47"/>
      <c r="K61" s="56"/>
      <c r="L61" s="37">
        <v>0.70299999999999996</v>
      </c>
      <c r="M61" s="37">
        <v>0.53400000000000003</v>
      </c>
      <c r="N61" s="37">
        <v>1.0149815599791376</v>
      </c>
      <c r="O61" s="37">
        <v>0.2505</v>
      </c>
      <c r="P61" s="37">
        <v>2.3294117647058825</v>
      </c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>
      <c r="A62" s="47"/>
      <c r="B62" s="47"/>
      <c r="C62" s="32"/>
      <c r="D62" s="33" t="s">
        <v>13</v>
      </c>
      <c r="E62" s="34" t="s">
        <v>323</v>
      </c>
      <c r="F62" s="35" t="s">
        <v>15</v>
      </c>
      <c r="G62" s="47"/>
      <c r="H62" s="47"/>
      <c r="I62" s="47"/>
      <c r="J62" s="47"/>
      <c r="K62" s="56"/>
      <c r="L62" s="37">
        <v>3.6920000000000002</v>
      </c>
      <c r="M62" s="37">
        <v>3.7320000000000002</v>
      </c>
      <c r="N62" s="37">
        <v>3.8</v>
      </c>
      <c r="O62" s="37">
        <v>4.3979999999999997</v>
      </c>
      <c r="P62" s="37">
        <v>4.532</v>
      </c>
      <c r="Q62" s="38" t="s">
        <v>310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213</v>
      </c>
      <c r="F63" s="35" t="s">
        <v>15</v>
      </c>
      <c r="G63" s="47"/>
      <c r="H63" s="47"/>
      <c r="I63" s="47"/>
      <c r="J63" s="47"/>
      <c r="K63" s="56"/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>
      <c r="A64" s="47"/>
      <c r="B64" s="47"/>
      <c r="C64" s="32"/>
      <c r="D64" s="33" t="s">
        <v>13</v>
      </c>
      <c r="E64" s="34" t="s">
        <v>249</v>
      </c>
      <c r="F64" s="35" t="s">
        <v>15</v>
      </c>
      <c r="G64" s="47"/>
      <c r="H64" s="47"/>
      <c r="I64" s="47"/>
      <c r="J64" s="47"/>
      <c r="K64" s="56"/>
      <c r="L64" s="37">
        <v>0</v>
      </c>
      <c r="M64" s="37">
        <v>0</v>
      </c>
      <c r="N64" s="37">
        <v>0</v>
      </c>
      <c r="O64" s="37">
        <v>0.20100000000000001</v>
      </c>
      <c r="P64" s="37">
        <v>0</v>
      </c>
      <c r="Q64" s="38" t="s">
        <v>267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214</v>
      </c>
      <c r="F66" s="35" t="s">
        <v>15</v>
      </c>
      <c r="G66" s="47"/>
      <c r="H66" s="47"/>
      <c r="I66" s="47"/>
      <c r="J66" s="47"/>
      <c r="K66" s="56"/>
      <c r="L66" s="37">
        <v>0.78300000000000003</v>
      </c>
      <c r="M66" s="37">
        <v>0.93100000000000005</v>
      </c>
      <c r="N66" s="37">
        <v>1.036</v>
      </c>
      <c r="O66" s="37">
        <v>1.141</v>
      </c>
      <c r="P66" s="37">
        <v>1.4389999999999998</v>
      </c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215</v>
      </c>
      <c r="F67" s="35" t="s">
        <v>15</v>
      </c>
      <c r="G67" s="47"/>
      <c r="H67" s="47"/>
      <c r="I67" s="47"/>
      <c r="J67" s="47"/>
      <c r="K67" s="56"/>
      <c r="L67" s="37">
        <v>0.48599999999999999</v>
      </c>
      <c r="M67" s="37">
        <v>3.1869999999999998</v>
      </c>
      <c r="N67" s="37">
        <v>7.143283931</v>
      </c>
      <c r="O67" s="37">
        <v>5.2999999999999999E-2</v>
      </c>
      <c r="P67" s="37">
        <v>0</v>
      </c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>
      <c r="A68" s="47"/>
      <c r="B68" s="47"/>
      <c r="C68" s="32"/>
      <c r="D68" s="33" t="s">
        <v>13</v>
      </c>
      <c r="E68" s="34" t="s">
        <v>324</v>
      </c>
      <c r="F68" s="35" t="s">
        <v>15</v>
      </c>
      <c r="G68" s="47"/>
      <c r="H68" s="47"/>
      <c r="I68" s="47"/>
      <c r="J68" s="47"/>
      <c r="K68" s="56"/>
      <c r="L68" s="37">
        <v>5.3579999999999997</v>
      </c>
      <c r="M68" s="37">
        <v>5.4180000000000001</v>
      </c>
      <c r="N68" s="37">
        <v>5.9</v>
      </c>
      <c r="O68" s="37">
        <v>6.83</v>
      </c>
      <c r="P68" s="37">
        <v>7.0328400000000002</v>
      </c>
      <c r="Q68" s="38" t="s">
        <v>311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216</v>
      </c>
      <c r="F69" s="35" t="s">
        <v>15</v>
      </c>
      <c r="G69" s="47"/>
      <c r="H69" s="47"/>
      <c r="I69" s="47"/>
      <c r="J69" s="47"/>
      <c r="K69" s="56"/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>
      <c r="A70" s="47"/>
      <c r="B70" s="47"/>
      <c r="C70" s="32"/>
      <c r="D70" s="33" t="s">
        <v>13</v>
      </c>
      <c r="E70" s="34" t="s">
        <v>250</v>
      </c>
      <c r="F70" s="35" t="s">
        <v>15</v>
      </c>
      <c r="G70" s="47"/>
      <c r="H70" s="47"/>
      <c r="I70" s="47"/>
      <c r="J70" s="47"/>
      <c r="K70" s="56"/>
      <c r="L70" s="37">
        <v>0.442</v>
      </c>
      <c r="M70" s="37">
        <v>0</v>
      </c>
      <c r="N70" s="37">
        <v>0</v>
      </c>
      <c r="O70" s="37">
        <v>0.48899999999999999</v>
      </c>
      <c r="P70" s="37">
        <v>0</v>
      </c>
      <c r="Q70" s="38" t="s">
        <v>217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>
      <c r="A71" s="33"/>
      <c r="B71" s="33"/>
      <c r="C71" s="32"/>
      <c r="D71" s="33" t="s">
        <v>13</v>
      </c>
      <c r="E71" s="34" t="s">
        <v>281</v>
      </c>
      <c r="F71" s="35" t="s">
        <v>15</v>
      </c>
      <c r="G71" s="33"/>
      <c r="H71" s="33"/>
      <c r="I71" s="33"/>
      <c r="J71" s="33"/>
      <c r="K71" s="56"/>
      <c r="L71" s="37"/>
      <c r="M71" s="37"/>
      <c r="N71" s="37"/>
      <c r="O71" s="37"/>
      <c r="P71" s="37"/>
      <c r="Q71" s="38" t="s">
        <v>268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>
      <c r="A72" s="33"/>
      <c r="B72" s="33"/>
      <c r="C72" s="32"/>
      <c r="D72" s="33" t="s">
        <v>13</v>
      </c>
      <c r="E72" s="34" t="s">
        <v>282</v>
      </c>
      <c r="F72" s="35" t="s">
        <v>15</v>
      </c>
      <c r="G72" s="33"/>
      <c r="H72" s="33"/>
      <c r="I72" s="33"/>
      <c r="J72" s="33"/>
      <c r="K72" s="56"/>
      <c r="L72" s="37"/>
      <c r="M72" s="37"/>
      <c r="N72" s="37"/>
      <c r="O72" s="37"/>
      <c r="P72" s="37"/>
      <c r="Q72" s="38" t="s">
        <v>269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>
      <c r="A74" s="47"/>
      <c r="B74" s="47"/>
      <c r="C74" s="32"/>
      <c r="D74" s="33"/>
      <c r="E74" s="123" t="s">
        <v>221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>
      <c r="A75" s="33"/>
      <c r="B75" s="33"/>
      <c r="C75" s="32"/>
      <c r="D75" s="33" t="s">
        <v>13</v>
      </c>
      <c r="E75" s="34" t="s">
        <v>218</v>
      </c>
      <c r="F75" s="35" t="s">
        <v>14</v>
      </c>
      <c r="G75" s="33"/>
      <c r="H75" s="33"/>
      <c r="I75" s="33"/>
      <c r="J75" s="33"/>
      <c r="K75" s="37">
        <v>25.310480320541199</v>
      </c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>
      <c r="A76" s="33"/>
      <c r="B76" s="33"/>
      <c r="C76" s="32"/>
      <c r="D76" s="33"/>
      <c r="E76" s="293"/>
      <c r="F76" s="294"/>
      <c r="G76" s="300"/>
      <c r="H76" s="300"/>
      <c r="I76" s="300"/>
      <c r="J76" s="300"/>
      <c r="K76" s="298"/>
      <c r="L76" s="295"/>
      <c r="M76" s="295"/>
      <c r="N76" s="295"/>
      <c r="O76" s="295"/>
      <c r="P76" s="295"/>
      <c r="Q76" s="38"/>
      <c r="R76" s="31"/>
      <c r="S76" s="31"/>
      <c r="T76" s="31"/>
      <c r="U76" s="31"/>
      <c r="V76" s="57"/>
      <c r="W76" s="31"/>
      <c r="X76" s="31"/>
      <c r="Y76" s="31"/>
      <c r="Z76" s="31"/>
      <c r="AA76" s="31"/>
    </row>
    <row r="77" spans="1:27" s="12" customFormat="1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>
      <c r="A78" s="33"/>
      <c r="B78" s="33"/>
      <c r="C78" s="32"/>
      <c r="D78" s="33" t="s">
        <v>13</v>
      </c>
      <c r="E78" s="34" t="s">
        <v>219</v>
      </c>
      <c r="F78" s="35" t="s">
        <v>14</v>
      </c>
      <c r="G78" s="33"/>
      <c r="H78" s="33"/>
      <c r="I78" s="33"/>
      <c r="J78" s="33"/>
      <c r="K78" s="37">
        <v>26.964197955770899</v>
      </c>
      <c r="L78" s="33"/>
      <c r="M78" s="33"/>
      <c r="N78" s="33"/>
      <c r="O78" s="33"/>
      <c r="P78" s="33"/>
      <c r="Q78" s="38" t="s">
        <v>18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>
      <c r="A79" s="47"/>
      <c r="B79" s="47"/>
      <c r="C79" s="32"/>
      <c r="D79" s="33"/>
      <c r="E79" s="293"/>
      <c r="F79" s="294"/>
      <c r="G79" s="300"/>
      <c r="H79" s="300"/>
      <c r="I79" s="300"/>
      <c r="J79" s="300"/>
      <c r="K79" s="298"/>
      <c r="L79" s="295"/>
      <c r="M79" s="295"/>
      <c r="N79" s="295"/>
      <c r="O79" s="295"/>
      <c r="P79" s="295"/>
      <c r="Q79" s="38"/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5"/>
    <row r="81" spans="1:24" s="23" customFormat="1" ht="15">
      <c r="A81" s="19"/>
      <c r="B81" s="20"/>
      <c r="C81" s="20"/>
      <c r="D81" s="21"/>
      <c r="E81" s="22" t="s">
        <v>19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5">
      <c r="A83" s="19"/>
      <c r="B83" s="20"/>
      <c r="C83" s="20"/>
      <c r="D83" s="21"/>
      <c r="E83" s="22" t="s">
        <v>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>
      <c r="A85" s="26"/>
      <c r="B85" s="26"/>
      <c r="C85" s="58"/>
      <c r="D85" s="12"/>
      <c r="E85" s="55" t="s">
        <v>200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>
      <c r="A86" s="26"/>
      <c r="B86" s="26"/>
      <c r="C86" s="58"/>
      <c r="D86" s="29" t="s">
        <v>21</v>
      </c>
      <c r="E86" s="59" t="s">
        <v>22</v>
      </c>
      <c r="F86" s="12"/>
      <c r="G86" s="12"/>
      <c r="H86" s="66">
        <v>0.55000000000000004</v>
      </c>
      <c r="I86" s="38" t="s">
        <v>23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>
      <c r="A87" s="26"/>
      <c r="B87" s="26"/>
      <c r="C87" s="58"/>
      <c r="D87" s="29" t="s">
        <v>21</v>
      </c>
      <c r="E87" s="59" t="s">
        <v>24</v>
      </c>
      <c r="F87" s="12"/>
      <c r="G87" s="12"/>
      <c r="H87" s="66">
        <v>0.5</v>
      </c>
      <c r="I87" s="38" t="s">
        <v>25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>
      <c r="A89" s="26"/>
      <c r="B89" s="26"/>
      <c r="C89" s="58"/>
      <c r="D89" s="26"/>
      <c r="E89" s="55" t="s">
        <v>26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>
      <c r="A90" s="26"/>
      <c r="B90" s="26"/>
      <c r="C90" s="58"/>
      <c r="D90" s="29" t="s">
        <v>27</v>
      </c>
      <c r="E90" s="59" t="s">
        <v>28</v>
      </c>
      <c r="F90" s="26"/>
      <c r="G90" s="26"/>
      <c r="H90" s="61">
        <v>115</v>
      </c>
      <c r="I90" s="38" t="s">
        <v>29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>
      <c r="A91" s="26"/>
      <c r="B91" s="26"/>
      <c r="C91" s="58"/>
      <c r="D91" s="29" t="s">
        <v>27</v>
      </c>
      <c r="E91" s="59" t="s">
        <v>30</v>
      </c>
      <c r="F91" s="31"/>
      <c r="G91" s="31"/>
      <c r="H91" s="61">
        <v>130</v>
      </c>
      <c r="I91" s="38" t="s">
        <v>31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>
      <c r="A93" s="26"/>
      <c r="B93" s="26"/>
      <c r="C93" s="58"/>
      <c r="D93" s="29" t="s">
        <v>27</v>
      </c>
      <c r="E93" s="59" t="s">
        <v>32</v>
      </c>
      <c r="F93" s="26"/>
      <c r="G93" s="26"/>
      <c r="H93" s="61">
        <v>80</v>
      </c>
      <c r="I93" s="38" t="s">
        <v>33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>
      <c r="A94" s="26"/>
      <c r="B94" s="26"/>
      <c r="C94" s="58"/>
      <c r="D94" s="29" t="s">
        <v>27</v>
      </c>
      <c r="E94" s="59" t="s">
        <v>34</v>
      </c>
      <c r="F94" s="26"/>
      <c r="G94" s="26"/>
      <c r="H94" s="61">
        <v>80</v>
      </c>
      <c r="I94" s="38" t="s">
        <v>35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>
      <c r="A96" s="26"/>
      <c r="B96" s="26"/>
      <c r="C96" s="58"/>
      <c r="D96" s="29" t="s">
        <v>27</v>
      </c>
      <c r="E96" s="51" t="s">
        <v>36</v>
      </c>
      <c r="F96" s="26"/>
      <c r="G96" s="26"/>
      <c r="H96" s="61">
        <f>IF(Enhanced.Flag,UB.Enhanced,UB.NonEnhanced)</f>
        <v>130</v>
      </c>
      <c r="I96" s="38" t="s">
        <v>37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>
      <c r="A97" s="26"/>
      <c r="B97" s="26"/>
      <c r="C97" s="58"/>
      <c r="D97" s="29" t="s">
        <v>27</v>
      </c>
      <c r="E97" s="51" t="s">
        <v>38</v>
      </c>
      <c r="F97" s="26"/>
      <c r="G97" s="26"/>
      <c r="H97" s="61">
        <f>IF(Enhanced.Flag,LB.Enhanced,LB.NonEnhanced)</f>
        <v>80</v>
      </c>
      <c r="I97" s="38" t="s">
        <v>39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>
      <c r="A99" s="26"/>
      <c r="B99" s="26"/>
      <c r="C99" s="58"/>
      <c r="D99" s="26"/>
      <c r="E99" s="62" t="s">
        <v>40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>
      <c r="A100" s="26"/>
      <c r="B100" s="26"/>
      <c r="C100" s="58"/>
      <c r="D100" s="29" t="s">
        <v>27</v>
      </c>
      <c r="E100" s="64" t="s">
        <v>41</v>
      </c>
      <c r="F100" s="63"/>
      <c r="G100" s="63"/>
      <c r="H100" s="61">
        <v>100</v>
      </c>
      <c r="I100" s="38" t="s">
        <v>42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>
      <c r="A101" s="26"/>
      <c r="B101" s="26"/>
      <c r="C101" s="58"/>
      <c r="D101" s="29" t="s">
        <v>27</v>
      </c>
      <c r="E101" s="64" t="s">
        <v>16</v>
      </c>
      <c r="F101" s="63"/>
      <c r="G101" s="63"/>
      <c r="H101" s="61">
        <v>100</v>
      </c>
      <c r="I101" s="38" t="s">
        <v>43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>
      <c r="A103" s="26"/>
      <c r="B103" s="26"/>
      <c r="C103" s="58"/>
      <c r="D103" s="63"/>
      <c r="E103" s="62" t="s">
        <v>44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>
      <c r="A104" s="26"/>
      <c r="B104" s="26"/>
      <c r="C104" s="58"/>
      <c r="D104" s="47" t="s">
        <v>21</v>
      </c>
      <c r="E104" s="65" t="s">
        <v>45</v>
      </c>
      <c r="F104" s="63"/>
      <c r="G104" s="63"/>
      <c r="H104" s="66">
        <f>IF(Enhanced.Flag,Enhanced.Baseline,NonEnhanced.Baseline)</f>
        <v>0.5</v>
      </c>
      <c r="I104" s="38" t="s">
        <v>46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>
      <c r="A105" s="26"/>
      <c r="B105" s="26"/>
      <c r="C105" s="58"/>
      <c r="D105" s="47" t="s">
        <v>47</v>
      </c>
      <c r="E105" s="65" t="s">
        <v>48</v>
      </c>
      <c r="F105" s="63"/>
      <c r="G105" s="63"/>
      <c r="H105" s="71">
        <f>-0.2%</f>
        <v>-2E-3</v>
      </c>
      <c r="I105" s="38" t="s">
        <v>49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>
      <c r="E107" s="62" t="s">
        <v>50</v>
      </c>
      <c r="H107" s="118"/>
      <c r="I107" s="67"/>
    </row>
    <row r="108" spans="1:24" s="3" customFormat="1">
      <c r="D108" s="3" t="s">
        <v>51</v>
      </c>
      <c r="E108" s="65" t="s">
        <v>52</v>
      </c>
      <c r="F108" s="49"/>
      <c r="G108" s="49"/>
      <c r="H108" s="263">
        <v>0.75</v>
      </c>
      <c r="I108" s="68" t="s">
        <v>53</v>
      </c>
    </row>
    <row r="109" spans="1:24" s="3" customFormat="1">
      <c r="D109" s="3" t="s">
        <v>51</v>
      </c>
      <c r="E109" s="65" t="s">
        <v>54</v>
      </c>
      <c r="F109" s="49"/>
      <c r="G109" s="49"/>
      <c r="H109" s="263">
        <v>0.25</v>
      </c>
      <c r="I109" s="68" t="s">
        <v>55</v>
      </c>
    </row>
    <row r="110" spans="1:24" s="3" customFormat="1">
      <c r="H110" s="49"/>
    </row>
    <row r="111" spans="1:24" s="3" customFormat="1"/>
    <row r="112" spans="1:24" s="23" customFormat="1" ht="15">
      <c r="A112" s="19"/>
      <c r="B112" s="20"/>
      <c r="C112" s="20"/>
      <c r="D112" s="21"/>
      <c r="E112" s="22" t="s">
        <v>56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>
      <c r="A114" s="47"/>
      <c r="B114" s="47"/>
      <c r="C114" s="48"/>
      <c r="D114" s="47"/>
      <c r="E114" s="55" t="s">
        <v>57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>
      <c r="A115" s="47"/>
      <c r="B115" s="47"/>
      <c r="C115" s="48"/>
      <c r="D115" s="47" t="s">
        <v>58</v>
      </c>
      <c r="E115" s="59" t="s">
        <v>302</v>
      </c>
      <c r="G115" s="47"/>
      <c r="H115" s="69">
        <f>Company.Baseline-(100*Company.Slope)</f>
        <v>0.7</v>
      </c>
      <c r="I115" s="70" t="s">
        <v>59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>
      <c r="A116" s="47"/>
      <c r="B116" s="47"/>
      <c r="C116" s="48"/>
      <c r="D116" s="47" t="s">
        <v>58</v>
      </c>
      <c r="E116" s="59" t="s">
        <v>60</v>
      </c>
      <c r="F116" s="35"/>
      <c r="G116" s="47"/>
      <c r="H116" s="71">
        <f>Company.Slope</f>
        <v>-2E-3</v>
      </c>
      <c r="I116" s="70" t="s">
        <v>61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>
      <c r="A117" s="33"/>
      <c r="B117" s="33"/>
      <c r="C117" s="32"/>
      <c r="D117" s="33" t="s">
        <v>58</v>
      </c>
      <c r="E117" s="34" t="s">
        <v>327</v>
      </c>
      <c r="F117" s="35"/>
      <c r="G117" s="33"/>
      <c r="H117" s="69">
        <f>100*OfwatBaseline.Int</f>
        <v>75</v>
      </c>
      <c r="I117" s="70" t="s">
        <v>62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>
      <c r="A118" s="47"/>
      <c r="B118" s="47"/>
      <c r="C118" s="48"/>
      <c r="D118" s="47" t="s">
        <v>58</v>
      </c>
      <c r="E118" s="59" t="s">
        <v>63</v>
      </c>
      <c r="F118" s="35"/>
      <c r="G118" s="47"/>
      <c r="H118" s="69">
        <f>CompanyForecase.Int</f>
        <v>0.25</v>
      </c>
      <c r="I118" s="70" t="s">
        <v>64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>
      <c r="A119" s="47"/>
      <c r="B119" s="47"/>
      <c r="C119" s="48"/>
      <c r="D119" s="47" t="s">
        <v>58</v>
      </c>
      <c r="E119" s="59" t="s">
        <v>65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66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>
      <c r="A120" s="47"/>
      <c r="B120" s="47"/>
      <c r="C120" s="48"/>
      <c r="D120" s="47" t="s">
        <v>58</v>
      </c>
      <c r="E120" s="59" t="s">
        <v>67</v>
      </c>
      <c r="F120" s="35"/>
      <c r="G120" s="47"/>
      <c r="H120" s="72">
        <f>0-Eff.Inc.Slope*Allowed.Exp.Constant+0-Allowed.Exp.Slope*Eff.Inc.Constant</f>
        <v>-2.4999999999999994E-2</v>
      </c>
      <c r="I120" s="70" t="s">
        <v>68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>
      <c r="A121" s="47"/>
      <c r="B121" s="47"/>
      <c r="C121" s="48"/>
      <c r="D121" s="47" t="s">
        <v>58</v>
      </c>
      <c r="E121" s="59" t="s">
        <v>69</v>
      </c>
      <c r="F121" s="35"/>
      <c r="G121" s="47"/>
      <c r="H121" s="72">
        <f>(0-Allowed.Exp.Slope+0.5)*Eff.Inc.Slope</f>
        <v>-5.0000000000000001E-4</v>
      </c>
      <c r="I121" s="70" t="s">
        <v>70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5">
      <c r="A123" s="19"/>
      <c r="B123" s="20"/>
      <c r="C123" s="20"/>
      <c r="D123" s="21"/>
      <c r="E123" s="22" t="s">
        <v>71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>
      <c r="D125" s="49" t="s">
        <v>72</v>
      </c>
      <c r="E125" s="74" t="s">
        <v>73</v>
      </c>
      <c r="F125" s="35"/>
      <c r="L125" s="37">
        <v>0.57548999999999995</v>
      </c>
      <c r="M125" s="37">
        <v>0.50838000000000005</v>
      </c>
      <c r="N125" s="37">
        <v>0.5857</v>
      </c>
      <c r="O125" s="37">
        <v>0.65902000000000005</v>
      </c>
      <c r="P125" s="37">
        <v>0.68181000000000003</v>
      </c>
      <c r="Q125" s="75" t="s">
        <v>74</v>
      </c>
    </row>
    <row r="126" spans="1:27">
      <c r="D126" s="49" t="s">
        <v>72</v>
      </c>
      <c r="E126" s="74" t="s">
        <v>75</v>
      </c>
      <c r="F126" s="35"/>
      <c r="L126" s="37">
        <v>0.63917000000000002</v>
      </c>
      <c r="M126" s="37">
        <v>0.50465000000000004</v>
      </c>
      <c r="N126" s="37">
        <v>0.56679999999999997</v>
      </c>
      <c r="O126" s="37">
        <v>0.54888999999999999</v>
      </c>
      <c r="P126" s="37">
        <v>0.55271000000000003</v>
      </c>
      <c r="Q126" s="75" t="s">
        <v>76</v>
      </c>
    </row>
    <row r="127" spans="1:27"/>
    <row r="128" spans="1:27" s="23" customFormat="1" ht="15">
      <c r="A128" s="19"/>
      <c r="B128" s="20"/>
      <c r="C128" s="20"/>
      <c r="D128" s="21"/>
      <c r="E128" s="22" t="s">
        <v>230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259</v>
      </c>
      <c r="E130" s="74" t="s">
        <v>257</v>
      </c>
      <c r="H130" s="242"/>
    </row>
    <row r="131" spans="1:24">
      <c r="D131" s="3" t="s">
        <v>58</v>
      </c>
      <c r="E131" s="74" t="s">
        <v>231</v>
      </c>
      <c r="F131" s="31"/>
      <c r="H131" s="69">
        <f>EffInc.Coeff.Water</f>
        <v>0.49426861110194342</v>
      </c>
    </row>
    <row r="132" spans="1:24" ht="12" customHeight="1">
      <c r="D132" s="49" t="s">
        <v>259</v>
      </c>
      <c r="E132" s="74" t="s">
        <v>232</v>
      </c>
      <c r="F132" s="31"/>
      <c r="H132" s="225">
        <f>AllExp.Coeff.Water/100</f>
        <v>1.0071642361225708</v>
      </c>
    </row>
    <row r="133" spans="1:24" ht="15">
      <c r="E133" s="239"/>
      <c r="F133"/>
    </row>
    <row r="134" spans="1:24">
      <c r="D134" s="3" t="s">
        <v>85</v>
      </c>
      <c r="E134" s="74" t="s">
        <v>233</v>
      </c>
      <c r="F134" s="35" t="s">
        <v>14</v>
      </c>
      <c r="H134" s="31"/>
      <c r="L134" s="226"/>
      <c r="M134" s="226"/>
      <c r="N134" s="227"/>
      <c r="O134" s="227"/>
      <c r="P134" s="227"/>
      <c r="Q134" s="31"/>
      <c r="R134" s="31"/>
      <c r="S134" s="31"/>
      <c r="T134" s="31"/>
      <c r="U134" s="31"/>
      <c r="V134" s="31"/>
    </row>
    <row r="135" spans="1:24">
      <c r="D135" s="3" t="s">
        <v>85</v>
      </c>
      <c r="E135" s="74" t="s">
        <v>233</v>
      </c>
      <c r="F135" s="35" t="s">
        <v>234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5"/>
    <row r="137" spans="1:24">
      <c r="D137" s="3" t="s">
        <v>85</v>
      </c>
      <c r="E137" s="74" t="s">
        <v>235</v>
      </c>
      <c r="F137" s="35" t="s">
        <v>234</v>
      </c>
      <c r="H137" s="31"/>
      <c r="L137" s="226"/>
      <c r="M137" s="226"/>
      <c r="N137" s="227"/>
      <c r="O137" s="227"/>
      <c r="P137" s="227"/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>
      <c r="E139" s="55" t="s">
        <v>229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>
      <c r="D140" s="3" t="s">
        <v>85</v>
      </c>
      <c r="E140" s="34" t="s">
        <v>258</v>
      </c>
      <c r="F140" s="35" t="s">
        <v>234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276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5">
      <c r="A142" s="19"/>
      <c r="B142" s="20"/>
      <c r="C142" s="20"/>
      <c r="D142" s="21"/>
      <c r="E142" s="22" t="s">
        <v>279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>
      <c r="D144" s="49" t="s">
        <v>259</v>
      </c>
      <c r="E144" s="74" t="s">
        <v>280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>
      <c r="D146" s="3" t="s">
        <v>85</v>
      </c>
      <c r="E146" s="255" t="s">
        <v>277</v>
      </c>
      <c r="F146" s="35" t="s">
        <v>234</v>
      </c>
      <c r="H146" s="31"/>
      <c r="K146" s="47"/>
      <c r="L146" s="45"/>
      <c r="M146" s="45"/>
      <c r="N146" s="45"/>
      <c r="O146" s="45"/>
      <c r="P146" s="45"/>
      <c r="Q146" s="75"/>
      <c r="R146" s="31"/>
      <c r="S146" s="31"/>
      <c r="T146" s="31"/>
      <c r="U146" s="31"/>
      <c r="V146" s="31"/>
    </row>
    <row r="147" spans="1:27" ht="13.5" customHeight="1">
      <c r="D147" s="3" t="s">
        <v>85</v>
      </c>
      <c r="E147" s="256" t="s">
        <v>278</v>
      </c>
      <c r="F147" s="35" t="s">
        <v>234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266</v>
      </c>
      <c r="R147" s="31"/>
      <c r="S147" s="31"/>
      <c r="T147" s="31"/>
      <c r="U147" s="31"/>
      <c r="V147" s="31"/>
    </row>
    <row r="148" spans="1:27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s="23" customFormat="1" ht="15">
      <c r="A149" s="19"/>
      <c r="B149" s="20"/>
      <c r="C149" s="20"/>
      <c r="D149" s="21"/>
      <c r="E149" s="22" t="s">
        <v>364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7">
      <c r="D150" s="3"/>
      <c r="F150" s="35"/>
      <c r="H150" s="31"/>
      <c r="K150" s="47"/>
      <c r="L150" s="47"/>
      <c r="M150" s="47"/>
      <c r="N150" s="47"/>
      <c r="O150" s="47"/>
      <c r="P150" s="47"/>
      <c r="Q150" s="75"/>
      <c r="R150" s="31"/>
      <c r="S150" s="31"/>
      <c r="T150" s="31"/>
      <c r="U150" s="31"/>
      <c r="V150" s="31"/>
    </row>
    <row r="151" spans="1:27">
      <c r="D151" s="3" t="s">
        <v>85</v>
      </c>
      <c r="E151" s="255" t="s">
        <v>365</v>
      </c>
      <c r="F151" s="35" t="s">
        <v>14</v>
      </c>
      <c r="H151" s="31"/>
      <c r="K151" s="47"/>
      <c r="L151" s="37"/>
      <c r="M151" s="45"/>
      <c r="N151" s="45"/>
      <c r="O151" s="45"/>
      <c r="P151" s="45"/>
      <c r="Q151" s="75"/>
      <c r="R151" s="31"/>
      <c r="S151" s="31"/>
      <c r="T151" s="31"/>
      <c r="U151" s="31"/>
      <c r="V151" s="31"/>
    </row>
    <row r="152" spans="1:27" ht="13.5" thickBot="1">
      <c r="E152" s="31"/>
      <c r="F152" s="35"/>
      <c r="L152" s="31"/>
      <c r="M152" s="31"/>
      <c r="N152" s="31"/>
      <c r="O152" s="31"/>
      <c r="P152" s="31"/>
      <c r="Q152" s="75"/>
      <c r="R152" s="31"/>
      <c r="S152" s="31"/>
      <c r="T152" s="31"/>
      <c r="U152" s="31"/>
      <c r="V152" s="31"/>
    </row>
    <row r="153" spans="1:27" ht="13.5" thickBot="1">
      <c r="A153" s="76" t="s">
        <v>77</v>
      </c>
      <c r="B153" s="77"/>
      <c r="C153" s="78"/>
      <c r="D153" s="77"/>
      <c r="E153" s="79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77"/>
      <c r="X153" s="77"/>
      <c r="Y153" s="77"/>
      <c r="Z153" s="77"/>
      <c r="AA153" s="77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3:22" hidden="1"/>
    <row r="162" spans="3:22" hidden="1"/>
    <row r="163" spans="3:22" hidden="1"/>
    <row r="164" spans="3:22" s="258" customFormat="1" hidden="1">
      <c r="C164" s="271"/>
      <c r="E164" s="272"/>
      <c r="V164" s="259"/>
    </row>
    <row r="165" spans="3:22" s="258" customFormat="1" hidden="1">
      <c r="C165" s="271"/>
      <c r="E165" s="272"/>
      <c r="V165" s="259"/>
    </row>
  </sheetData>
  <conditionalFormatting sqref="K12:K13">
    <cfRule type="cellIs" dxfId="2" priority="1" operator="equal">
      <formula>TRUE</formula>
    </cfRule>
  </conditionalFormatting>
  <dataValidations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63" fitToHeight="0" orientation="landscape" r:id="rId1"/>
  <headerFooter alignWithMargins="0"/>
  <ignoredErrors>
    <ignoredError sqref="I5:U5 H96:H104 O140:P140 N135:P136 H116:H126 N138:P139 H127 H113:H114 H106:H1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70" zoomScaleNormal="70" workbookViewId="0">
      <pane xSplit="6" ySplit="7" topLeftCell="G8" activePane="bottomRight" state="frozen"/>
      <selection activeCell="K53" sqref="K53"/>
      <selection pane="topRight" activeCell="K53" sqref="K53"/>
      <selection pane="bottomLeft" activeCell="K53" sqref="K53"/>
      <selection pane="bottomRight" activeCell="L192" sqref="L192"/>
    </sheetView>
  </sheetViews>
  <sheetFormatPr defaultColWidth="0" defaultRowHeight="12.75" zeroHeight="1"/>
  <cols>
    <col min="1" max="3" width="2.5703125" style="3" customWidth="1"/>
    <col min="4" max="4" width="9.42578125" style="246" bestFit="1" customWidth="1"/>
    <col min="5" max="5" width="75.140625" style="129" customWidth="1"/>
    <col min="6" max="6" width="20.42578125" style="129" customWidth="1"/>
    <col min="7" max="7" width="14.5703125" style="129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119" customWidth="1"/>
    <col min="23" max="23" width="106.140625" style="118" bestFit="1" customWidth="1"/>
    <col min="24" max="24" width="3.5703125" style="130" customWidth="1"/>
    <col min="25" max="25" width="13.5703125" style="118" hidden="1" customWidth="1"/>
    <col min="26" max="38" width="9.140625" style="118" hidden="1" customWidth="1"/>
    <col min="39" max="39" width="10.140625" style="118" hidden="1" customWidth="1"/>
    <col min="40" max="16384" width="9.140625" style="118" hidden="1"/>
  </cols>
  <sheetData>
    <row r="1" spans="1:29" s="2" customFormat="1" ht="33.75">
      <c r="A1" s="1"/>
      <c r="B1" s="1"/>
      <c r="C1" s="1"/>
      <c r="D1" s="244"/>
      <c r="E1" s="1" t="s">
        <v>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>
      <c r="A5" s="101"/>
      <c r="B5" s="95"/>
      <c r="C5" s="102"/>
      <c r="D5" s="97" t="s">
        <v>27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343</v>
      </c>
      <c r="X6" s="104"/>
    </row>
    <row r="7" spans="1:29" s="3" customFormat="1" ht="12.75" customHeight="1">
      <c r="D7" s="246"/>
      <c r="E7" s="3" t="s">
        <v>245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5">
      <c r="A9" s="20"/>
      <c r="B9" s="20"/>
      <c r="C9" s="20"/>
      <c r="D9" s="247"/>
      <c r="E9" s="22" t="s">
        <v>79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5">
      <c r="A11" s="20"/>
      <c r="B11" s="20"/>
      <c r="C11" s="20"/>
      <c r="D11" s="247"/>
      <c r="E11" s="22" t="s">
        <v>304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>
      <c r="C13" s="106"/>
      <c r="D13" s="248"/>
      <c r="E13" s="111" t="s">
        <v>206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80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298.59926586548227</v>
      </c>
      <c r="M14" s="56">
        <f>Actual.Totex.Water/Indexation.Average</f>
        <v>337.95811115744647</v>
      </c>
      <c r="N14" s="56">
        <f>Actual.Totex.Water/Indexation.Average</f>
        <v>345.09343523598773</v>
      </c>
      <c r="O14" s="56">
        <f>Actual.Totex.Water/Indexation.Average</f>
        <v>361.38650724243297</v>
      </c>
      <c r="P14" s="56">
        <f>Actual.Totex.Water/Indexation.Average</f>
        <v>335.38170937526638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82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385.09790659524748</v>
      </c>
      <c r="M15" s="56">
        <f>Actual.Totex.Sewerage/Indexation.Average</f>
        <v>429.08768820306932</v>
      </c>
      <c r="N15" s="56">
        <f>Actual.Totex.Sewerage/Indexation.Average</f>
        <v>481.18827485500839</v>
      </c>
      <c r="O15" s="56">
        <f>Actual.Totex.Sewerage/Indexation.Average</f>
        <v>445.36831721584093</v>
      </c>
      <c r="P15" s="56">
        <f>Actual.Totex.Sewerage/Indexation.Average</f>
        <v>443.48894158296014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>
      <c r="C17" s="106"/>
      <c r="D17" s="248"/>
      <c r="E17" s="111" t="s">
        <v>220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209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9.9951136451239773</v>
      </c>
      <c r="M18" s="56">
        <f>SUM(INDEX(Actual.Exclusions.Water,,M6))/Indexation.Average</f>
        <v>9.4373653574011733</v>
      </c>
      <c r="N18" s="56">
        <f>SUM(INDEX(Actual.Exclusions.Water,,N6))/Indexation.Average</f>
        <v>11.731389238308145</v>
      </c>
      <c r="O18" s="56">
        <f>SUM(INDEX(Actual.Exclusions.Water,,O6))/Indexation.Average</f>
        <v>13.559953824945923</v>
      </c>
      <c r="P18" s="56">
        <f>SUM(INDEX(Actual.Exclusions.Water,,P6))/Indexation.Average</f>
        <v>13.509488236943364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210</v>
      </c>
      <c r="F19" s="35" t="s">
        <v>14</v>
      </c>
      <c r="G19" s="110"/>
      <c r="H19" s="106"/>
      <c r="I19" s="112"/>
      <c r="J19" s="112"/>
      <c r="K19" s="112"/>
      <c r="L19" s="298">
        <f>SUM(Inputs!L66:L72)/Indexation.Average</f>
        <v>6.6668671784658855</v>
      </c>
      <c r="M19" s="298">
        <f>SUM(Inputs!M66:M72)/Indexation.Average</f>
        <v>8.8048836755872806</v>
      </c>
      <c r="N19" s="298">
        <f>SUM(Inputs!N66:N72)/Indexation.Average</f>
        <v>12.530899860501712</v>
      </c>
      <c r="O19" s="298">
        <f>SUM(Inputs!O66:O72)/Indexation.Average</f>
        <v>7.3276342978871147</v>
      </c>
      <c r="P19" s="298">
        <f>SUM(Inputs!P66:P72)/Indexation.Average</f>
        <v>7.0729442207817481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>
      <c r="C21" s="106"/>
      <c r="D21" s="248"/>
      <c r="E21" s="111" t="s">
        <v>309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25.310480320541199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26.964197955770899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>
      <c r="C25" s="106"/>
      <c r="D25" s="248"/>
      <c r="E25" s="111" t="s">
        <v>308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92"/>
      <c r="E26" s="293"/>
      <c r="F26" s="294"/>
      <c r="G26" s="289"/>
      <c r="H26" s="290"/>
      <c r="I26" s="299"/>
      <c r="J26" s="299"/>
      <c r="K26" s="299"/>
      <c r="L26" s="298"/>
      <c r="M26" s="298"/>
      <c r="N26" s="298"/>
      <c r="O26" s="298"/>
      <c r="P26" s="298"/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92"/>
      <c r="E27" s="293"/>
      <c r="F27" s="294"/>
      <c r="G27" s="289"/>
      <c r="H27" s="290"/>
      <c r="I27" s="299"/>
      <c r="J27" s="299"/>
      <c r="K27" s="299"/>
      <c r="L27" s="298"/>
      <c r="M27" s="298"/>
      <c r="N27" s="298"/>
      <c r="O27" s="298"/>
      <c r="P27" s="298"/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>
      <c r="C29" s="106"/>
      <c r="D29" s="248"/>
      <c r="E29" s="111" t="s">
        <v>224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>
      <c r="C30" s="106"/>
      <c r="D30" s="248" t="s">
        <v>13</v>
      </c>
      <c r="E30" s="34" t="s">
        <v>225</v>
      </c>
      <c r="F30" s="35" t="s">
        <v>14</v>
      </c>
      <c r="G30" s="110"/>
      <c r="H30" s="106"/>
      <c r="I30" s="112"/>
      <c r="J30" s="112"/>
      <c r="K30" s="112"/>
      <c r="L30" s="298">
        <f>L14-L18+L22</f>
        <v>313.9146325408995</v>
      </c>
      <c r="M30" s="298">
        <f t="shared" ref="M30:P30" si="2">M14-M18+M22</f>
        <v>328.52074580004529</v>
      </c>
      <c r="N30" s="298">
        <f t="shared" si="2"/>
        <v>333.36204599767956</v>
      </c>
      <c r="O30" s="298">
        <f t="shared" si="2"/>
        <v>347.82655341748705</v>
      </c>
      <c r="P30" s="298">
        <f t="shared" si="2"/>
        <v>321.87222113832303</v>
      </c>
      <c r="Q30" s="116" t="s">
        <v>254</v>
      </c>
      <c r="R30" s="3"/>
      <c r="S30" s="3"/>
      <c r="T30" s="3"/>
      <c r="V30" s="106"/>
      <c r="W30" s="106"/>
      <c r="X30" s="109"/>
    </row>
    <row r="31" spans="1:24" s="105" customFormat="1">
      <c r="C31" s="106"/>
      <c r="D31" s="248" t="s">
        <v>13</v>
      </c>
      <c r="E31" s="34" t="s">
        <v>226</v>
      </c>
      <c r="F31" s="35" t="s">
        <v>14</v>
      </c>
      <c r="G31" s="110"/>
      <c r="H31" s="106"/>
      <c r="I31" s="112"/>
      <c r="J31" s="112"/>
      <c r="K31" s="112"/>
      <c r="L31" s="298">
        <f>L15-L19+L23</f>
        <v>405.39523737255246</v>
      </c>
      <c r="M31" s="298">
        <f t="shared" ref="M31:P31" si="3">M15-M19+M23</f>
        <v>420.28280452748203</v>
      </c>
      <c r="N31" s="298">
        <f t="shared" si="3"/>
        <v>468.65737499450665</v>
      </c>
      <c r="O31" s="298">
        <f t="shared" si="3"/>
        <v>438.0406829179538</v>
      </c>
      <c r="P31" s="298">
        <f t="shared" si="3"/>
        <v>436.41599736217842</v>
      </c>
      <c r="Q31" s="116" t="s">
        <v>255</v>
      </c>
      <c r="R31" s="3"/>
      <c r="S31" s="3"/>
      <c r="T31" s="3"/>
      <c r="V31" s="106"/>
      <c r="W31" s="106"/>
      <c r="X31" s="109"/>
    </row>
    <row r="32" spans="1:24" s="105" customFormat="1">
      <c r="C32" s="106"/>
      <c r="D32" s="248" t="s">
        <v>13</v>
      </c>
      <c r="E32" s="216" t="s">
        <v>227</v>
      </c>
      <c r="F32" s="35" t="s">
        <v>14</v>
      </c>
      <c r="G32" s="110"/>
      <c r="H32" s="106"/>
      <c r="I32" s="112"/>
      <c r="J32" s="112"/>
      <c r="K32" s="112"/>
      <c r="L32" s="114">
        <f>SUM(L30:L31)</f>
        <v>719.30986991345196</v>
      </c>
      <c r="M32" s="114">
        <f>SUM(M30:M31)</f>
        <v>748.80355032752732</v>
      </c>
      <c r="N32" s="114">
        <f t="shared" ref="N32:P32" si="4">SUM(N30:N31)</f>
        <v>802.01942099218627</v>
      </c>
      <c r="O32" s="114">
        <f t="shared" si="4"/>
        <v>785.86723633544079</v>
      </c>
      <c r="P32" s="114">
        <f t="shared" si="4"/>
        <v>758.28821850050144</v>
      </c>
      <c r="Q32" s="116" t="s">
        <v>256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5">
      <c r="A34" s="20"/>
      <c r="B34" s="20"/>
      <c r="C34" s="20"/>
      <c r="D34" s="247"/>
      <c r="E34" s="22" t="s">
        <v>84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5">
      <c r="A36" s="20"/>
      <c r="B36" s="20"/>
      <c r="C36" s="20"/>
      <c r="D36" s="247"/>
      <c r="E36" s="22" t="s">
        <v>285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>
      <c r="A38" s="118"/>
      <c r="B38" s="118"/>
      <c r="C38" s="119"/>
      <c r="D38" s="248"/>
      <c r="E38" s="113" t="s">
        <v>88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>
      <c r="A39" s="118"/>
      <c r="B39" s="118"/>
      <c r="C39" s="119"/>
      <c r="D39" s="250" t="s">
        <v>72</v>
      </c>
      <c r="E39" s="115" t="s">
        <v>89</v>
      </c>
      <c r="F39" s="41"/>
      <c r="G39" s="124">
        <f>Company.Baseline+Company.Slope*(UB.Chosen-100)</f>
        <v>0.44</v>
      </c>
      <c r="H39" s="126" t="s">
        <v>90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>
      <c r="A40" s="118"/>
      <c r="B40" s="118"/>
      <c r="C40" s="119"/>
      <c r="D40" s="248" t="s">
        <v>85</v>
      </c>
      <c r="E40" s="115" t="s">
        <v>91</v>
      </c>
      <c r="F40" s="41"/>
      <c r="G40" s="125">
        <f>Allowed.Exp.Slope*UB.Chosen+Allowed.Exp.Constant</f>
        <v>107.5</v>
      </c>
      <c r="H40" s="126" t="s">
        <v>92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>
      <c r="A41" s="118"/>
      <c r="B41" s="118"/>
      <c r="C41" s="119"/>
      <c r="D41" s="248" t="s">
        <v>85</v>
      </c>
      <c r="E41" s="115" t="s">
        <v>93</v>
      </c>
      <c r="F41" s="41"/>
      <c r="G41" s="125">
        <f>Add.Income.2ndOrder*(UB.Chosen^2)+Add.Income.1stOrder*UB.Chosen+Add.Income.Constant</f>
        <v>-4.1999999999999993</v>
      </c>
      <c r="H41" s="126" t="s">
        <v>94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>
      <c r="A43" s="118"/>
      <c r="B43" s="118"/>
      <c r="C43" s="119"/>
      <c r="D43" s="248"/>
      <c r="E43" s="113" t="s">
        <v>95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>
      <c r="A44" s="118"/>
      <c r="B44" s="118"/>
      <c r="C44" s="119"/>
      <c r="D44" s="250" t="s">
        <v>72</v>
      </c>
      <c r="E44" s="115" t="s">
        <v>96</v>
      </c>
      <c r="F44" s="41"/>
      <c r="G44" s="124">
        <f>Company.Baseline+Company.Slope*(LB.Chosen-100)</f>
        <v>0.54</v>
      </c>
      <c r="H44" s="126" t="s">
        <v>97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>
      <c r="A45" s="118"/>
      <c r="B45" s="118"/>
      <c r="C45" s="119"/>
      <c r="D45" s="248" t="s">
        <v>85</v>
      </c>
      <c r="E45" s="115" t="s">
        <v>98</v>
      </c>
      <c r="F45" s="41"/>
      <c r="G45" s="125">
        <f>Allowed.Exp.Slope*LB.Chosen+Allowed.Exp.Constant</f>
        <v>95</v>
      </c>
      <c r="H45" s="126" t="s">
        <v>99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85</v>
      </c>
      <c r="E46" s="115" t="s">
        <v>100</v>
      </c>
      <c r="F46" s="41"/>
      <c r="G46" s="125">
        <f>Add.Income.2ndOrder*(LB.Chosen^2)+Add.Income.1stOrder*LB.Chosen+Add.Income.Constant</f>
        <v>2.3000000000000007</v>
      </c>
      <c r="H46" s="126" t="s">
        <v>101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5">
      <c r="A48" s="20"/>
      <c r="B48" s="20"/>
      <c r="C48" s="20"/>
      <c r="D48" s="247"/>
      <c r="E48" s="22" t="s">
        <v>356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>
      <c r="A50" s="118"/>
      <c r="B50" s="118"/>
      <c r="C50" s="119"/>
      <c r="D50" s="248"/>
      <c r="E50" s="123" t="s">
        <v>102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>
      <c r="A51" s="118"/>
      <c r="B51" s="118"/>
      <c r="C51" s="119"/>
      <c r="D51" s="250" t="s">
        <v>72</v>
      </c>
      <c r="E51" s="34" t="s">
        <v>103</v>
      </c>
      <c r="F51" s="41"/>
      <c r="G51" s="124">
        <f>MIN(MAX(Eff.Inc.Constant+Eff.Inc.Slope*FD.Menu.Choice.Water,UB.EffInc),LB.EffInc)</f>
        <v>0.49426861110194342</v>
      </c>
      <c r="H51" s="126" t="s">
        <v>293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>
      <c r="A52" s="118"/>
      <c r="B52" s="118"/>
      <c r="C52" s="119"/>
      <c r="D52" s="248" t="s">
        <v>85</v>
      </c>
      <c r="E52" s="34" t="s">
        <v>105</v>
      </c>
      <c r="F52" s="41"/>
      <c r="G52" s="125">
        <f>MIN(MAX(Allowed.Exp.Constant+Allowed.Exp.Slope*FD.Menu.Choice.Water,LB.AllExp),UB.AllExp)</f>
        <v>100.71642361225707</v>
      </c>
      <c r="H52" s="126" t="s">
        <v>294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>
      <c r="A53" s="118"/>
      <c r="B53" s="118"/>
      <c r="C53" s="119"/>
      <c r="D53" s="248" t="s">
        <v>85</v>
      </c>
      <c r="E53" s="34" t="s">
        <v>107</v>
      </c>
      <c r="F53" s="41"/>
      <c r="G53" s="125">
        <f>MIN(MAX(Add.Income.Constant+Add.Income.1stOrder*FD.Menu.Choice.Water+Add.Income.2ndOrder*(FD.Menu.Choice.Water^2),UB.AddInc),LB.AddInc)</f>
        <v>-0.36231790846612988</v>
      </c>
      <c r="H53" s="126" t="s">
        <v>295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>
      <c r="A55" s="118"/>
      <c r="B55" s="118"/>
      <c r="C55" s="119"/>
      <c r="D55" s="248"/>
      <c r="E55" s="123" t="s">
        <v>109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>
      <c r="A56" s="118"/>
      <c r="B56" s="118"/>
      <c r="C56" s="119"/>
      <c r="D56" s="250" t="s">
        <v>72</v>
      </c>
      <c r="E56" s="34" t="s">
        <v>110</v>
      </c>
      <c r="F56" s="41"/>
      <c r="G56" s="124">
        <f>MIN(MAX(Eff.Inc.Constant+Eff.Inc.Slope*FD.Menu.Choice.Sewerage,UB.EffInc),LB.EffInc)</f>
        <v>0.503105566457689</v>
      </c>
      <c r="H56" s="126" t="s">
        <v>296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>
      <c r="A57" s="118"/>
      <c r="B57" s="118"/>
      <c r="C57" s="119"/>
      <c r="D57" s="248" t="s">
        <v>85</v>
      </c>
      <c r="E57" s="34" t="s">
        <v>112</v>
      </c>
      <c r="F57" s="41"/>
      <c r="G57" s="125">
        <f>MIN(MAX(Allowed.Exp.Constant+Allowed.Exp.Slope*FD.Menu.Choice.Sewerage,LB.AllExp),UB.AllExp)</f>
        <v>99.611804192788867</v>
      </c>
      <c r="H57" s="126" t="s">
        <v>297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>
      <c r="A58" s="118"/>
      <c r="B58" s="118"/>
      <c r="C58" s="119"/>
      <c r="D58" s="248" t="s">
        <v>85</v>
      </c>
      <c r="E58" s="34" t="s">
        <v>114</v>
      </c>
      <c r="F58" s="41"/>
      <c r="G58" s="125">
        <f>MIN(MAX(Add.Income.Constant+Add.Income.1stOrder*FD.Menu.Choice.Sewerage+Add.Income.2ndOrder*(FD.Menu.Choice.Sewerage^2),UB.AddInc),LB.AddInc)</f>
        <v>0.1928923357276755</v>
      </c>
      <c r="H58" s="126" t="s">
        <v>298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5">
      <c r="A60" s="20"/>
      <c r="B60" s="20"/>
      <c r="C60" s="20"/>
      <c r="D60" s="247"/>
      <c r="E60" s="22" t="s">
        <v>286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>
      <c r="A62" s="118"/>
      <c r="B62" s="118"/>
      <c r="C62" s="119"/>
      <c r="D62" s="248"/>
      <c r="E62" s="123" t="s">
        <v>102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>
      <c r="A63" s="118"/>
      <c r="B63" s="118"/>
      <c r="C63" s="119"/>
      <c r="D63" s="250" t="s">
        <v>72</v>
      </c>
      <c r="E63" s="34" t="s">
        <v>103</v>
      </c>
      <c r="F63" s="41"/>
      <c r="G63" s="124">
        <f>MIN(MAX(Eff.Inc.Constant+Eff.Inc.Slope*Menu.Choice.Water,UB.EffInc),LB.EffInc)</f>
        <v>0.49426861110194342</v>
      </c>
      <c r="H63" s="126" t="s">
        <v>104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>
      <c r="A64" s="118"/>
      <c r="B64" s="118"/>
      <c r="C64" s="119"/>
      <c r="D64" s="248" t="s">
        <v>85</v>
      </c>
      <c r="E64" s="34" t="s">
        <v>105</v>
      </c>
      <c r="F64" s="41"/>
      <c r="G64" s="125">
        <f>MIN(MAX(Allowed.Exp.Constant+Allowed.Exp.Slope*Menu.Choice.Water,LB.AllExp),UB.AllExp)</f>
        <v>100.71642361225707</v>
      </c>
      <c r="H64" s="126" t="s">
        <v>106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>
      <c r="A65" s="118"/>
      <c r="B65" s="118"/>
      <c r="C65" s="119"/>
      <c r="D65" s="248" t="s">
        <v>85</v>
      </c>
      <c r="E65" s="34" t="s">
        <v>107</v>
      </c>
      <c r="F65" s="41"/>
      <c r="G65" s="125">
        <f>MIN(MAX(Add.Income.Constant+Add.Income.1stOrder*Menu.Choice.Water+Add.Income.2ndOrder*(Menu.Choice.Water^2),UB.AddInc),LB.AddInc)</f>
        <v>-0.36231790846612988</v>
      </c>
      <c r="H65" s="126" t="s">
        <v>108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>
      <c r="A67" s="118"/>
      <c r="B67" s="118"/>
      <c r="C67" s="119"/>
      <c r="D67" s="248"/>
      <c r="E67" s="123" t="s">
        <v>109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>
      <c r="A68" s="118"/>
      <c r="B68" s="118"/>
      <c r="C68" s="119"/>
      <c r="D68" s="250" t="s">
        <v>72</v>
      </c>
      <c r="E68" s="34" t="s">
        <v>110</v>
      </c>
      <c r="F68" s="41"/>
      <c r="G68" s="124">
        <f>MIN(MAX(Eff.Inc.Constant+Eff.Inc.Slope*Menu.Choice.Sewerage,UB.EffInc),LB.EffInc)</f>
        <v>0.503105566457689</v>
      </c>
      <c r="H68" s="126" t="s">
        <v>111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>
      <c r="A69" s="118"/>
      <c r="B69" s="118"/>
      <c r="C69" s="119"/>
      <c r="D69" s="248" t="s">
        <v>85</v>
      </c>
      <c r="E69" s="34" t="s">
        <v>112</v>
      </c>
      <c r="F69" s="41"/>
      <c r="G69" s="125">
        <f>MIN(MAX(Allowed.Exp.Constant+Allowed.Exp.Slope*Menu.Choice.Sewerage,LB.AllExp),UB.AllExp)</f>
        <v>99.611804192788867</v>
      </c>
      <c r="H69" s="126" t="s">
        <v>113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>
      <c r="A70" s="118"/>
      <c r="B70" s="118"/>
      <c r="C70" s="119"/>
      <c r="D70" s="248" t="s">
        <v>85</v>
      </c>
      <c r="E70" s="34" t="s">
        <v>114</v>
      </c>
      <c r="F70" s="41"/>
      <c r="G70" s="125">
        <f>MIN(MAX(Add.Income.Constant+Add.Income.1stOrder*Menu.Choice.Sewerage+Add.Income.2ndOrder*(Menu.Choice.Sewerage^2),UB.AddInc),LB.AddInc)</f>
        <v>0.1928923357276755</v>
      </c>
      <c r="H70" s="126" t="s">
        <v>115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5">
      <c r="A72" s="20"/>
      <c r="B72" s="20"/>
      <c r="C72" s="20"/>
      <c r="D72" s="247"/>
      <c r="E72" s="22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5">
      <c r="A74" s="20"/>
      <c r="B74" s="20"/>
      <c r="C74" s="20"/>
      <c r="D74" s="247"/>
      <c r="E74" s="22" t="s">
        <v>116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>
      <c r="A76" s="118"/>
      <c r="B76" s="118"/>
      <c r="C76" s="119"/>
      <c r="D76" s="248"/>
      <c r="E76" s="123" t="s">
        <v>117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72</v>
      </c>
      <c r="E77" s="34" t="s">
        <v>358</v>
      </c>
      <c r="F77" s="3"/>
      <c r="G77" s="270">
        <f>IF(SUM(Baseline.Totex.Water)&lt;&gt;0,SUM(Menu.Totex.Water)/SUM(Baseline.Totex.Water),0)</f>
        <v>0.9933966671947777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85</v>
      </c>
      <c r="E78" s="34" t="s">
        <v>359</v>
      </c>
      <c r="F78" s="41"/>
      <c r="G78" s="125">
        <f>G77*100</f>
        <v>99.339666719477776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>
      <c r="A80" s="118"/>
      <c r="B80" s="118"/>
      <c r="C80" s="119"/>
      <c r="D80" s="248" t="s">
        <v>85</v>
      </c>
      <c r="E80" s="34" t="s">
        <v>118</v>
      </c>
      <c r="F80" s="221"/>
      <c r="G80" s="224">
        <f>(AllExp.Coeff.Water-G78)*EffInc.Coeff.Water+AddInc.Coeff.Water</f>
        <v>0.31816980875292089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72</v>
      </c>
      <c r="E81" s="34" t="s">
        <v>119</v>
      </c>
      <c r="F81" s="41"/>
      <c r="G81" s="269">
        <f>G80/100</f>
        <v>3.1816980875292089E-3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>
      <c r="A83" s="118"/>
      <c r="B83" s="118"/>
      <c r="C83" s="119"/>
      <c r="D83" s="248"/>
      <c r="E83" s="123" t="s">
        <v>120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72</v>
      </c>
      <c r="E84" s="34" t="s">
        <v>360</v>
      </c>
      <c r="F84" s="3"/>
      <c r="G84" s="270">
        <f>IF(SUM(Baseline.Totex.Sewerage)&lt;&gt;0,SUM(Menu.Totex.Sewerage)/SUM(Baseline.Totex.Sewerage),0)</f>
        <v>0.8669295960466562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85</v>
      </c>
      <c r="E85" s="34" t="s">
        <v>361</v>
      </c>
      <c r="F85" s="41"/>
      <c r="G85" s="125">
        <f>G84*100</f>
        <v>86.692959604665617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85</v>
      </c>
      <c r="E87" s="34" t="s">
        <v>121</v>
      </c>
      <c r="F87" s="41"/>
      <c r="G87" s="223">
        <f>(AllExp.Coeff.Sewerage-G85)*EffInc.Coeff.Sewerage+AddInc.Coeff.Sewerage</f>
        <v>6.692434960214273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72</v>
      </c>
      <c r="E88" s="34" t="s">
        <v>122</v>
      </c>
      <c r="F88" s="41"/>
      <c r="G88" s="269">
        <f>G87/100</f>
        <v>6.6924349602142733E-2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5">
      <c r="A90" s="20"/>
      <c r="B90" s="20"/>
      <c r="C90" s="20"/>
      <c r="D90" s="247"/>
      <c r="E90" s="22" t="s">
        <v>274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>
      <c r="A92" s="118"/>
      <c r="B92" s="118"/>
      <c r="C92" s="119"/>
      <c r="D92" s="108"/>
      <c r="E92" s="123" t="s">
        <v>275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272</v>
      </c>
      <c r="F93" s="35" t="s">
        <v>14</v>
      </c>
      <c r="G93" s="211">
        <f>G81*SUM(Baseline.Totex.Water)</f>
        <v>5.2702734788141514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273</v>
      </c>
      <c r="F94" s="35" t="s">
        <v>14</v>
      </c>
      <c r="G94" s="211">
        <f>G88*SUM(Baseline.Totex.Sewerage)</f>
        <v>167.42420744148961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>
      <c r="A96" s="118"/>
      <c r="B96" s="118"/>
      <c r="C96" s="119"/>
      <c r="D96" s="108"/>
      <c r="E96" s="123" t="s">
        <v>289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287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-1.2382353103816981</v>
      </c>
      <c r="M97" s="211">
        <f>FD.AddInc.Coeff.Water/100*Baseline.Totex.Water</f>
        <v>-1.4177858888882198</v>
      </c>
      <c r="N97" s="211">
        <f>FD.AddInc.Coeff.Water/100*Baseline.Totex.Water</f>
        <v>-1.2160398570985822</v>
      </c>
      <c r="O97" s="211">
        <f>FD.AddInc.Coeff.Water/100*Baseline.Totex.Water</f>
        <v>-1.0807849713666018</v>
      </c>
      <c r="P97" s="211">
        <f>FD.AddInc.Coeff.Water/100*Baseline.Totex.Water</f>
        <v>-1.0487116667956098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288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0.84394894669100629</v>
      </c>
      <c r="M98" s="211">
        <f>FD.AddInc.Coeff.Sewerage/100*Baseline.Totex.Sewerage</f>
        <v>1.0779457943359312</v>
      </c>
      <c r="N98" s="211">
        <f>FD.AddInc.Coeff.Sewerage/100*Baseline.Totex.Sewerage</f>
        <v>0.9539435721609798</v>
      </c>
      <c r="O98" s="211">
        <f>FD.AddInc.Coeff.Sewerage/100*Baseline.Totex.Sewerage</f>
        <v>0.98011387120864935</v>
      </c>
      <c r="P98" s="211">
        <f>FD.AddInc.Coeff.Sewerage/100*Baseline.Totex.Sewerage</f>
        <v>0.96962275547700782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>
      <c r="A100" s="118"/>
      <c r="B100" s="118"/>
      <c r="C100" s="119"/>
      <c r="D100" s="108"/>
      <c r="E100" s="123" t="s">
        <v>290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321</v>
      </c>
      <c r="F101" s="35" t="s">
        <v>14</v>
      </c>
      <c r="G101" s="211">
        <f>G93-SUM(L97:P97)</f>
        <v>11.271831173344864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322</v>
      </c>
      <c r="F102" s="35" t="s">
        <v>14</v>
      </c>
      <c r="G102" s="211">
        <f>G94-SUM(L98:P98)</f>
        <v>162.59863250161604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312</v>
      </c>
      <c r="K103" s="106"/>
      <c r="L103" s="3"/>
      <c r="M103" s="3"/>
      <c r="N103" s="3"/>
      <c r="P103" s="106"/>
      <c r="Q103" s="106"/>
      <c r="R103" s="109"/>
    </row>
    <row r="104" spans="1:24" s="105" customFormat="1">
      <c r="A104" s="118"/>
      <c r="B104" s="118"/>
      <c r="C104" s="119"/>
      <c r="D104" s="107"/>
      <c r="E104" s="123" t="s">
        <v>299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270</v>
      </c>
      <c r="F105" s="35" t="s">
        <v>14</v>
      </c>
      <c r="G105" s="211"/>
      <c r="K105" s="106"/>
      <c r="L105" s="211">
        <f>IF(SUM(Baseline.Totex.Water)=0,0,$G101*(Baseline.Totex.Water/SUM(Baseline.Totex.Water)))</f>
        <v>2.3255928013848992</v>
      </c>
      <c r="M105" s="211">
        <f>IF(SUM(Baseline.Totex.Water)=0,0,$G101*(Baseline.Totex.Water/SUM(Baseline.Totex.Water)))</f>
        <v>2.6628158876257078</v>
      </c>
      <c r="N105" s="211">
        <f>IF(SUM(Baseline.Totex.Water)=0,0,$G101*(Baseline.Totex.Water/SUM(Baseline.Totex.Water)))</f>
        <v>2.2839063901301779</v>
      </c>
      <c r="O105" s="211">
        <f>IF(SUM(Baseline.Totex.Water)=0,0,$G101*(Baseline.Totex.Water/SUM(Baseline.Totex.Water)))</f>
        <v>2.029877300527275</v>
      </c>
      <c r="P105" s="211">
        <f>IF(SUM(Baseline.Totex.Water)=0,0,$G101*(Baseline.Totex.Water/SUM(Baseline.Totex.Water)))</f>
        <v>1.9696387936768027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271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28.437014520125143</v>
      </c>
      <c r="M106" s="211">
        <f>IF(SUM(Baseline.Totex.Sewerage)=0,0,$G102*(Baseline.Totex.Sewerage/SUM(Baseline.Totex.Sewerage)))</f>
        <v>36.321581211312122</v>
      </c>
      <c r="N106" s="211">
        <f>IF(SUM(Baseline.Totex.Sewerage)=0,0,$G102*(Baseline.Totex.Sewerage/SUM(Baseline.Totex.Sewerage)))</f>
        <v>32.14330359589146</v>
      </c>
      <c r="O106" s="211">
        <f>IF(SUM(Baseline.Totex.Sewerage)=0,0,$G102*(Baseline.Totex.Sewerage/SUM(Baseline.Totex.Sewerage)))</f>
        <v>33.025116621350534</v>
      </c>
      <c r="P106" s="211">
        <f>IF(SUM(Baseline.Totex.Sewerage)=0,0,$G102*(Baseline.Totex.Sewerage/SUM(Baseline.Totex.Sewerage)))</f>
        <v>32.671616552936769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>
      <c r="A108" s="118"/>
      <c r="B108" s="118"/>
      <c r="C108" s="119"/>
      <c r="D108" s="107"/>
      <c r="E108" s="123" t="s">
        <v>303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270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2.6789998919417384</v>
      </c>
      <c r="M109" s="211">
        <f>M105*(1+WACC)^Calcs!M7</f>
        <v>2.9608772679984261</v>
      </c>
      <c r="N109" s="211">
        <f>N105*(1+WACC)^Calcs!N7</f>
        <v>2.4513075929011596</v>
      </c>
      <c r="O109" s="211">
        <f>O105*(1+WACC)^Calcs!O7</f>
        <v>2.1029528833462567</v>
      </c>
      <c r="P109" s="211">
        <f>P105*(1+WACC)^Calcs!P7</f>
        <v>1.9696387936768027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271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32.75842562859404</v>
      </c>
      <c r="M110" s="211">
        <f>M106*(1+WACC)^Calcs!M7</f>
        <v>40.38722490957641</v>
      </c>
      <c r="N110" s="211">
        <f>N106*(1+WACC)^Calcs!N7</f>
        <v>34.499279176255925</v>
      </c>
      <c r="O110" s="211">
        <f>O106*(1+WACC)^Calcs!O7</f>
        <v>34.214020819719153</v>
      </c>
      <c r="P110" s="211">
        <f>P106*(1+WACC)^Calcs!P7</f>
        <v>32.671616552936769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>
      <c r="A112" s="118"/>
      <c r="B112" s="118"/>
      <c r="C112" s="119"/>
      <c r="D112" s="108"/>
      <c r="E112" s="282" t="s">
        <v>302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300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12.163776429864383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301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174.53056708708232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5">
      <c r="A116" s="20"/>
      <c r="B116" s="20"/>
      <c r="C116" s="20"/>
      <c r="D116" s="247"/>
      <c r="E116" s="22" t="s">
        <v>320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>
      <c r="A122" s="118"/>
      <c r="B122" s="118"/>
      <c r="C122" s="119"/>
      <c r="D122" s="107"/>
      <c r="E122" s="123" t="s">
        <v>314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357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>
      <c r="A125" s="118"/>
      <c r="B125" s="118"/>
      <c r="C125" s="119"/>
      <c r="D125" s="107"/>
      <c r="E125" s="123" t="s">
        <v>315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362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>
      <c r="A129" s="118"/>
      <c r="B129" s="118"/>
      <c r="C129" s="119"/>
      <c r="D129" s="108"/>
      <c r="E129" s="282" t="s">
        <v>316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362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5">
      <c r="A133" s="20"/>
      <c r="B133" s="20"/>
      <c r="C133" s="20"/>
      <c r="D133" s="247"/>
      <c r="E133" s="22" t="s">
        <v>333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>
      <c r="A135" s="118"/>
      <c r="B135" s="118"/>
      <c r="C135" s="119"/>
      <c r="D135" s="26"/>
      <c r="E135" s="28" t="s">
        <v>330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341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328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344.20222996986058</v>
      </c>
      <c r="M136" s="211">
        <f>Baseline.Totex.Water*(FD.AllExp.Coeff.Water/100)</f>
        <v>394.11334863701626</v>
      </c>
      <c r="N136" s="211">
        <f>Baseline.Totex.Water*(FD.AllExp.Coeff.Water/100)</f>
        <v>338.03238127374698</v>
      </c>
      <c r="O136" s="211">
        <f>Baseline.Totex.Water*(FD.AllExp.Coeff.Water/100)</f>
        <v>300.43449265521349</v>
      </c>
      <c r="P136" s="211">
        <f>Baseline.Totex.Water*(FD.AllExp.Coeff.Water/100)</f>
        <v>291.51881817615595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329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435.82487043539516</v>
      </c>
      <c r="M137" s="211">
        <f>Baseline.Totex.Sewerage*(FD.AllExp.Coeff.Sewerage/100)</f>
        <v>556.66351382371226</v>
      </c>
      <c r="N137" s="211">
        <f>Baseline.Totex.Sewerage*(FD.AllExp.Coeff.Sewerage/100)</f>
        <v>492.62735070626951</v>
      </c>
      <c r="O137" s="211">
        <f>Baseline.Totex.Sewerage*(FD.AllExp.Coeff.Sewerage/100)</f>
        <v>506.14199188975101</v>
      </c>
      <c r="P137" s="211">
        <f>Baseline.Totex.Sewerage*(FD.AllExp.Coeff.Sewerage/100)</f>
        <v>500.72425996130602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>
      <c r="A139" s="118"/>
      <c r="B139" s="118"/>
      <c r="C139" s="119"/>
      <c r="D139" s="33"/>
      <c r="E139" s="28" t="s">
        <v>346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342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347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349.41975636847269</v>
      </c>
      <c r="M140" s="211">
        <f>Inputs!M46</f>
        <v>399.16979540059464</v>
      </c>
      <c r="N140" s="211">
        <f>Inputs!N46</f>
        <v>343.06132873140791</v>
      </c>
      <c r="O140" s="211">
        <f>Inputs!O46</f>
        <v>305.4754039725504</v>
      </c>
      <c r="P140" s="211">
        <f>Inputs!P46</f>
        <v>296.53225937895087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348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436.61484532449958</v>
      </c>
      <c r="M141" s="211">
        <f>Inputs!M47</f>
        <v>557.22118259870433</v>
      </c>
      <c r="N141" s="211">
        <f>Inputs!N47</f>
        <v>493.20517093443505</v>
      </c>
      <c r="O141" s="211">
        <f>Inputs!O47</f>
        <v>506.73833108470552</v>
      </c>
      <c r="P141" s="211">
        <f>Inputs!P47</f>
        <v>501.3378185544347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>
      <c r="A143" s="118"/>
      <c r="B143" s="118"/>
      <c r="C143" s="119"/>
      <c r="D143" s="33"/>
      <c r="E143" s="28" t="s">
        <v>351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349</v>
      </c>
      <c r="F144" s="35" t="s">
        <v>14</v>
      </c>
      <c r="G144" s="34"/>
      <c r="H144" s="105"/>
      <c r="I144" s="105"/>
      <c r="J144" s="105"/>
      <c r="K144" s="106"/>
      <c r="L144" s="211">
        <f>L140-L136</f>
        <v>5.2175263986121081</v>
      </c>
      <c r="M144" s="211">
        <f t="shared" ref="M144:P144" si="5">M140-M136</f>
        <v>5.0564467635783785</v>
      </c>
      <c r="N144" s="211">
        <f t="shared" si="5"/>
        <v>5.0289474576609337</v>
      </c>
      <c r="O144" s="211">
        <f t="shared" si="5"/>
        <v>5.0409113173369064</v>
      </c>
      <c r="P144" s="211">
        <f t="shared" si="5"/>
        <v>5.0134412027949224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350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0.78997488910442826</v>
      </c>
      <c r="M145" s="211">
        <f t="shared" ref="M145:P145" si="6">M141-M137</f>
        <v>0.55766877499206657</v>
      </c>
      <c r="N145" s="211">
        <f t="shared" si="6"/>
        <v>0.57782022816553535</v>
      </c>
      <c r="O145" s="211">
        <f t="shared" si="6"/>
        <v>0.59633919495450982</v>
      </c>
      <c r="P145" s="211">
        <f t="shared" si="6"/>
        <v>0.61355859312868688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>
      <c r="A147" s="118"/>
      <c r="B147" s="118"/>
      <c r="C147" s="119"/>
      <c r="D147" s="248"/>
      <c r="E147" s="28" t="s">
        <v>291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>
      <c r="A148" s="118"/>
      <c r="B148" s="118"/>
      <c r="C148" s="119"/>
      <c r="D148" s="33" t="s">
        <v>13</v>
      </c>
      <c r="E148" s="34" t="s">
        <v>334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344.20222996986058</v>
      </c>
      <c r="M148" s="211">
        <f>Baseline.Totex.Water*(AllExp.Coeff.Water/100)</f>
        <v>394.11334863701626</v>
      </c>
      <c r="N148" s="211">
        <f>Baseline.Totex.Water*(AllExp.Coeff.Water/100)</f>
        <v>338.03238127374698</v>
      </c>
      <c r="O148" s="211">
        <f>Baseline.Totex.Water*(AllExp.Coeff.Water/100)</f>
        <v>300.43449265521349</v>
      </c>
      <c r="P148" s="211">
        <f>Baseline.Totex.Water*(AllExp.Coeff.Water/100)</f>
        <v>291.51881817615595</v>
      </c>
      <c r="Q148" s="126" t="s">
        <v>331</v>
      </c>
      <c r="R148" s="118"/>
      <c r="S148" s="118"/>
      <c r="T148" s="118"/>
      <c r="U148" s="105"/>
      <c r="V148" s="106"/>
      <c r="W148" s="106"/>
      <c r="X148" s="109"/>
    </row>
    <row r="149" spans="1:24" s="261" customFormat="1">
      <c r="A149" s="118"/>
      <c r="B149" s="118"/>
      <c r="C149" s="119"/>
      <c r="D149" s="33" t="s">
        <v>13</v>
      </c>
      <c r="E149" s="34" t="s">
        <v>335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435.82487043539516</v>
      </c>
      <c r="M149" s="211">
        <f>Baseline.Totex.Sewerage*(AllExp.Coeff.Sewerage/100)</f>
        <v>556.66351382371226</v>
      </c>
      <c r="N149" s="211">
        <f>Baseline.Totex.Sewerage*(AllExp.Coeff.Sewerage/100)</f>
        <v>492.62735070626951</v>
      </c>
      <c r="O149" s="211">
        <f>Baseline.Totex.Sewerage*(AllExp.Coeff.Sewerage/100)</f>
        <v>506.14199188975101</v>
      </c>
      <c r="P149" s="211">
        <f>Baseline.Totex.Sewerage*(AllExp.Coeff.Sewerage/100)</f>
        <v>500.72425996130602</v>
      </c>
      <c r="Q149" s="126" t="s">
        <v>332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>
      <c r="A151" s="118"/>
      <c r="B151" s="118"/>
      <c r="C151" s="119"/>
      <c r="D151" s="248"/>
      <c r="E151" s="28" t="s">
        <v>337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336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349.41975636847269</v>
      </c>
      <c r="M152" s="211">
        <f t="shared" ref="M152:P152" si="7">M148+M144</f>
        <v>399.16979540059464</v>
      </c>
      <c r="N152" s="211">
        <f t="shared" si="7"/>
        <v>343.06132873140791</v>
      </c>
      <c r="O152" s="211">
        <f t="shared" si="7"/>
        <v>305.4754039725504</v>
      </c>
      <c r="P152" s="211">
        <f t="shared" si="7"/>
        <v>296.53225937895087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338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436.61484532449958</v>
      </c>
      <c r="M153" s="211">
        <f t="shared" ref="M153:P153" si="8">M149+M145</f>
        <v>557.22118259870433</v>
      </c>
      <c r="N153" s="211">
        <f t="shared" si="8"/>
        <v>493.20517093443505</v>
      </c>
      <c r="O153" s="211">
        <f t="shared" si="8"/>
        <v>506.73833108470552</v>
      </c>
      <c r="P153" s="211">
        <f t="shared" si="8"/>
        <v>501.3378185544347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>
      <c r="A155" s="118"/>
      <c r="B155" s="118"/>
      <c r="C155" s="119"/>
      <c r="D155" s="248"/>
      <c r="E155" s="28" t="s">
        <v>292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339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0</v>
      </c>
      <c r="M156" s="211">
        <f t="shared" si="9"/>
        <v>0</v>
      </c>
      <c r="N156" s="211">
        <f t="shared" si="9"/>
        <v>0</v>
      </c>
      <c r="O156" s="211">
        <f t="shared" si="9"/>
        <v>0</v>
      </c>
      <c r="P156" s="211">
        <f t="shared" si="9"/>
        <v>0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340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0</v>
      </c>
      <c r="M157" s="211">
        <f t="shared" si="9"/>
        <v>0</v>
      </c>
      <c r="N157" s="211">
        <f t="shared" si="9"/>
        <v>0</v>
      </c>
      <c r="O157" s="211">
        <f t="shared" si="9"/>
        <v>0</v>
      </c>
      <c r="P157" s="211">
        <f t="shared" si="9"/>
        <v>0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5">
      <c r="A159" s="20"/>
      <c r="B159" s="20"/>
      <c r="C159" s="20"/>
      <c r="D159" s="247"/>
      <c r="E159" s="22" t="s">
        <v>313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>
      <c r="A161" s="118"/>
      <c r="B161" s="118"/>
      <c r="C161" s="119"/>
      <c r="D161" s="107"/>
      <c r="E161" s="123" t="s">
        <v>263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>
      <c r="A162" s="118"/>
      <c r="B162" s="118"/>
      <c r="C162" s="119"/>
      <c r="D162" s="248" t="s">
        <v>13</v>
      </c>
      <c r="E162" s="34" t="s">
        <v>261</v>
      </c>
      <c r="F162" s="35" t="s">
        <v>14</v>
      </c>
      <c r="K162" s="106"/>
      <c r="L162" s="295">
        <f>(Actual.Totex.Water-SUM(Inputs!L60:L64))/Indexation.Average+TransitionExp.Water-L148</f>
        <v>-30.287597428961135</v>
      </c>
      <c r="M162" s="295">
        <f>(Actual.Totex.Water-SUM(Inputs!M60:M64))/Indexation.Average-M148</f>
        <v>-65.592602836970968</v>
      </c>
      <c r="N162" s="295">
        <f>(Actual.Totex.Water-SUM(Inputs!N60:N64))/Indexation.Average-N148</f>
        <v>-4.6703352760674193</v>
      </c>
      <c r="O162" s="295">
        <f>(Actual.Totex.Water-SUM(Inputs!O60:O64))/Indexation.Average-O148</f>
        <v>47.392060762273616</v>
      </c>
      <c r="P162" s="295">
        <f>(Actual.Totex.Water-SUM(Inputs!P60:P64))/Indexation.Average-P148</f>
        <v>30.353402962167081</v>
      </c>
      <c r="Q162" s="222"/>
      <c r="R162" s="118"/>
      <c r="S162" s="118"/>
      <c r="T162" s="118"/>
      <c r="V162" s="106"/>
      <c r="W162" s="284" t="s">
        <v>344</v>
      </c>
      <c r="X162" s="109"/>
    </row>
    <row r="163" spans="1:24" s="105" customFormat="1">
      <c r="A163" s="118"/>
      <c r="B163" s="118"/>
      <c r="C163" s="119"/>
      <c r="D163" s="248" t="s">
        <v>13</v>
      </c>
      <c r="E163" s="34" t="s">
        <v>262</v>
      </c>
      <c r="F163" s="35" t="s">
        <v>14</v>
      </c>
      <c r="K163" s="211"/>
      <c r="L163" s="295">
        <f>(Actual.Totex.Sewerage-SUM(Inputs!L66:L72))/Indexation.Average+TransitionExp.Sewerage-L149</f>
        <v>-30.42963306284264</v>
      </c>
      <c r="M163" s="295">
        <f>(Actual.Totex.Sewerage-SUM(Inputs!M66:M72))/Indexation.Average-M149</f>
        <v>-136.38070929623024</v>
      </c>
      <c r="N163" s="295">
        <f>(Actual.Totex.Sewerage-SUM(Inputs!N66:N72))/Indexation.Average-N149</f>
        <v>-23.9699757117628</v>
      </c>
      <c r="O163" s="295">
        <f>(Actual.Totex.Sewerage-SUM(Inputs!O66:O72))/Indexation.Average-O149</f>
        <v>-68.101308971797152</v>
      </c>
      <c r="P163" s="295">
        <f>(Actual.Totex.Sewerage-SUM(Inputs!P66:P72))/Indexation.Average-P149</f>
        <v>-64.308262599127659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>
      <c r="A165" s="118"/>
      <c r="B165" s="118"/>
      <c r="C165" s="119"/>
      <c r="D165" s="107"/>
      <c r="E165" s="123" t="s">
        <v>201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>
      <c r="A166" s="118"/>
      <c r="B166" s="118"/>
      <c r="C166" s="119"/>
      <c r="D166" s="248" t="s">
        <v>13</v>
      </c>
      <c r="E166" s="34" t="s">
        <v>202</v>
      </c>
      <c r="F166" s="35" t="s">
        <v>14</v>
      </c>
      <c r="G166" s="211"/>
      <c r="K166" s="106"/>
      <c r="L166" s="211">
        <f>L162+L156</f>
        <v>-30.287597428961135</v>
      </c>
      <c r="M166" s="211">
        <f t="shared" ref="L166:P167" si="10">M162+M156</f>
        <v>-65.592602836970968</v>
      </c>
      <c r="N166" s="211">
        <f t="shared" si="10"/>
        <v>-4.6703352760674193</v>
      </c>
      <c r="O166" s="211">
        <f t="shared" si="10"/>
        <v>47.392060762273616</v>
      </c>
      <c r="P166" s="211">
        <f t="shared" si="10"/>
        <v>30.353402962167081</v>
      </c>
      <c r="Q166" s="126" t="s">
        <v>222</v>
      </c>
      <c r="R166" s="118"/>
      <c r="S166" s="118"/>
      <c r="T166" s="118"/>
      <c r="V166" s="106"/>
      <c r="W166" s="106"/>
      <c r="X166" s="109"/>
    </row>
    <row r="167" spans="1:24" s="105" customFormat="1">
      <c r="A167" s="118"/>
      <c r="B167" s="118"/>
      <c r="C167" s="119"/>
      <c r="D167" s="248" t="s">
        <v>13</v>
      </c>
      <c r="E167" s="34" t="s">
        <v>203</v>
      </c>
      <c r="F167" s="35" t="s">
        <v>14</v>
      </c>
      <c r="G167" s="211"/>
      <c r="K167" s="106"/>
      <c r="L167" s="211">
        <f t="shared" si="10"/>
        <v>-30.42963306284264</v>
      </c>
      <c r="M167" s="211">
        <f t="shared" si="10"/>
        <v>-136.38070929623024</v>
      </c>
      <c r="N167" s="211">
        <f t="shared" si="10"/>
        <v>-23.9699757117628</v>
      </c>
      <c r="O167" s="211">
        <f t="shared" si="10"/>
        <v>-68.101308971797152</v>
      </c>
      <c r="P167" s="211">
        <f t="shared" si="10"/>
        <v>-64.308262599127659</v>
      </c>
      <c r="Q167" s="126" t="s">
        <v>223</v>
      </c>
      <c r="R167" s="118"/>
      <c r="S167" s="118"/>
      <c r="T167" s="118"/>
      <c r="V167" s="106"/>
      <c r="W167" s="106"/>
      <c r="X167" s="109"/>
    </row>
    <row r="168" spans="1:24" s="105" customFormat="1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>
      <c r="A169" s="118"/>
      <c r="B169" s="118"/>
      <c r="C169" s="119"/>
      <c r="D169" s="107"/>
      <c r="E169" s="123" t="s">
        <v>243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242</v>
      </c>
      <c r="F170" s="35" t="s">
        <v>14</v>
      </c>
      <c r="J170" s="211"/>
      <c r="K170" s="211"/>
      <c r="L170" s="211">
        <f>L166*(1+WACC)^Calcs!L7</f>
        <v>-34.890231080454967</v>
      </c>
      <c r="M170" s="211">
        <f>M166*(1+WACC)^Calcs!M7</f>
        <v>-72.934688271671945</v>
      </c>
      <c r="N170" s="211">
        <f>N166*(1+WACC)^Calcs!N7</f>
        <v>-5.012652170462057</v>
      </c>
      <c r="O170" s="211">
        <f>O166*(1+WACC)^Calcs!O7</f>
        <v>49.098174949715464</v>
      </c>
      <c r="P170" s="211">
        <f>P166*(1+WACC)^Calcs!P7</f>
        <v>30.353402962167081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244</v>
      </c>
      <c r="F171" s="35" t="s">
        <v>14</v>
      </c>
      <c r="J171" s="211"/>
      <c r="K171" s="211"/>
      <c r="L171" s="211">
        <f>L167*(1+WACC)^Calcs!L7</f>
        <v>-35.053851060527933</v>
      </c>
      <c r="M171" s="211">
        <f>M167*(1+WACC)^Calcs!M7</f>
        <v>-151.64643707633979</v>
      </c>
      <c r="N171" s="211">
        <f>N167*(1+WACC)^Calcs!N7</f>
        <v>-25.726879051532165</v>
      </c>
      <c r="O171" s="211">
        <f>O167*(1+WACC)^Calcs!O7</f>
        <v>-70.552956094781848</v>
      </c>
      <c r="P171" s="211">
        <f>P167*(1+WACC)^Calcs!P7</f>
        <v>-64.308262599127659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>
      <c r="A173" s="118"/>
      <c r="B173" s="118"/>
      <c r="C173" s="119"/>
      <c r="D173" s="108"/>
      <c r="E173" s="209" t="s">
        <v>228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>
      <c r="A174" s="118"/>
      <c r="B174" s="118"/>
      <c r="C174" s="119"/>
      <c r="D174" s="251" t="s">
        <v>13</v>
      </c>
      <c r="E174" s="210" t="s">
        <v>204</v>
      </c>
      <c r="F174" s="35" t="s">
        <v>14</v>
      </c>
      <c r="K174" s="106"/>
      <c r="L174" s="110"/>
      <c r="P174" s="125">
        <f>SUM(L170:P170)</f>
        <v>-33.385993610706429</v>
      </c>
      <c r="Q174" s="126"/>
      <c r="R174" s="3"/>
      <c r="S174" s="3"/>
      <c r="T174" s="3"/>
      <c r="V174" s="106"/>
      <c r="W174" s="106"/>
      <c r="X174" s="109"/>
    </row>
    <row r="175" spans="1:24" s="105" customFormat="1">
      <c r="A175" s="118"/>
      <c r="B175" s="118"/>
      <c r="C175" s="119"/>
      <c r="D175" s="251" t="s">
        <v>13</v>
      </c>
      <c r="E175" s="210" t="s">
        <v>205</v>
      </c>
      <c r="F175" s="35" t="s">
        <v>14</v>
      </c>
      <c r="K175" s="106"/>
      <c r="L175" s="110"/>
      <c r="P175" s="125">
        <f>SUM(L171:P171)</f>
        <v>-347.2883858823094</v>
      </c>
      <c r="Q175" s="126"/>
      <c r="R175" s="3"/>
      <c r="S175" s="3"/>
      <c r="T175" s="3"/>
      <c r="V175" s="106"/>
      <c r="W175" s="106"/>
      <c r="X175" s="109"/>
    </row>
    <row r="176" spans="1:24" s="105" customFormat="1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5">
      <c r="A177" s="20"/>
      <c r="B177" s="20"/>
      <c r="C177" s="20"/>
      <c r="D177" s="247"/>
      <c r="E177" s="22" t="s">
        <v>366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105" customFormat="1">
      <c r="A178" s="118"/>
      <c r="B178" s="118"/>
      <c r="C178" s="119"/>
      <c r="D178" s="248"/>
      <c r="E178" s="34"/>
      <c r="F178" s="35"/>
      <c r="G178" s="56"/>
      <c r="K178" s="106"/>
      <c r="L178" s="56"/>
      <c r="M178" s="56"/>
      <c r="N178" s="56"/>
      <c r="O178" s="56"/>
      <c r="P178" s="56"/>
      <c r="Q178" s="119"/>
      <c r="R178" s="3"/>
      <c r="S178" s="3"/>
      <c r="T178" s="3"/>
      <c r="V178" s="106"/>
      <c r="W178" s="106"/>
      <c r="X178" s="109"/>
    </row>
    <row r="179" spans="1:24" s="105" customFormat="1">
      <c r="A179" s="118"/>
      <c r="B179" s="118"/>
      <c r="C179" s="119"/>
      <c r="D179" s="107"/>
      <c r="E179" s="123" t="s">
        <v>367</v>
      </c>
      <c r="G179" s="110"/>
      <c r="K179" s="106"/>
      <c r="L179" s="110"/>
      <c r="M179" s="110"/>
      <c r="N179" s="110"/>
      <c r="O179" s="110"/>
      <c r="P179" s="110"/>
      <c r="Q179" s="119"/>
      <c r="R179" s="118"/>
      <c r="S179" s="118"/>
      <c r="T179" s="118"/>
      <c r="V179" s="106"/>
      <c r="W179" s="106"/>
      <c r="X179" s="109"/>
    </row>
    <row r="180" spans="1:24" s="105" customFormat="1">
      <c r="A180" s="118"/>
      <c r="B180" s="118"/>
      <c r="C180" s="119"/>
      <c r="D180" s="248" t="s">
        <v>13</v>
      </c>
      <c r="E180" s="34" t="s">
        <v>368</v>
      </c>
      <c r="F180" s="35" t="s">
        <v>14</v>
      </c>
      <c r="G180" s="211"/>
      <c r="K180" s="106"/>
      <c r="L180" s="301">
        <f>(Inputs!L72/Indexation.Average)-Inputs!L151</f>
        <v>0</v>
      </c>
      <c r="M180" s="301">
        <f>(Inputs!M72/Indexation.Average)-Inputs!M151</f>
        <v>0</v>
      </c>
      <c r="N180" s="301">
        <f>(Inputs!N72/Indexation.Average)-Inputs!N151</f>
        <v>0</v>
      </c>
      <c r="O180" s="301">
        <f>(Inputs!O72/Indexation.Average)-Inputs!O151</f>
        <v>0</v>
      </c>
      <c r="P180" s="301">
        <f>(Inputs!P72/Indexation.Average)-Inputs!P151</f>
        <v>0</v>
      </c>
      <c r="Q180" s="126"/>
      <c r="R180" s="118"/>
      <c r="S180" s="118"/>
      <c r="T180" s="118"/>
      <c r="V180" s="106"/>
      <c r="W180" s="106"/>
      <c r="X180" s="109"/>
    </row>
    <row r="181" spans="1:24" s="105" customFormat="1">
      <c r="A181" s="118"/>
      <c r="B181" s="118"/>
      <c r="C181" s="119"/>
      <c r="D181" s="248"/>
      <c r="E181" s="34"/>
      <c r="F181" s="35"/>
      <c r="G181" s="211"/>
      <c r="K181" s="106"/>
      <c r="L181" s="211"/>
      <c r="M181" s="211"/>
      <c r="N181" s="211"/>
      <c r="O181" s="211"/>
      <c r="P181" s="211"/>
      <c r="Q181" s="126"/>
      <c r="R181" s="3"/>
      <c r="S181" s="3"/>
      <c r="T181" s="3"/>
      <c r="V181" s="106"/>
      <c r="W181" s="106"/>
      <c r="X181" s="109"/>
    </row>
    <row r="182" spans="1:24" s="105" customFormat="1">
      <c r="A182" s="118"/>
      <c r="B182" s="118"/>
      <c r="C182" s="119"/>
      <c r="D182" s="107"/>
      <c r="E182" s="123" t="s">
        <v>369</v>
      </c>
      <c r="J182" s="211"/>
      <c r="K182" s="211"/>
      <c r="L182" s="211"/>
      <c r="M182" s="211"/>
      <c r="N182" s="211"/>
      <c r="O182" s="211"/>
      <c r="P182" s="211"/>
      <c r="Q182" s="211"/>
      <c r="R182" s="211"/>
      <c r="S182" s="3"/>
      <c r="T182" s="3"/>
      <c r="V182" s="106"/>
      <c r="W182" s="106"/>
      <c r="X182" s="109"/>
    </row>
    <row r="183" spans="1:24" s="105" customFormat="1">
      <c r="A183" s="118"/>
      <c r="B183" s="118"/>
      <c r="C183" s="119"/>
      <c r="D183" s="248" t="s">
        <v>13</v>
      </c>
      <c r="E183" s="34" t="s">
        <v>370</v>
      </c>
      <c r="F183" s="35" t="s">
        <v>14</v>
      </c>
      <c r="J183" s="211"/>
      <c r="K183" s="211"/>
      <c r="L183" s="301">
        <f>L180*(1+WACC)^Calcs!L7</f>
        <v>0</v>
      </c>
      <c r="M183" s="301">
        <f>M180*(1+WACC)^Calcs!M7</f>
        <v>0</v>
      </c>
      <c r="N183" s="301">
        <f>N180*(1+WACC)^Calcs!N7</f>
        <v>0</v>
      </c>
      <c r="O183" s="301">
        <f>O180*(1+WACC)^Calcs!O7</f>
        <v>0</v>
      </c>
      <c r="P183" s="301">
        <f>P180*(1+WACC)^Calcs!P7</f>
        <v>0</v>
      </c>
      <c r="Q183" s="211"/>
      <c r="R183" s="211"/>
      <c r="S183" s="3"/>
      <c r="T183" s="3"/>
      <c r="V183" s="106"/>
      <c r="W183" s="106"/>
      <c r="X183" s="109"/>
    </row>
    <row r="184" spans="1:24" s="105" customFormat="1">
      <c r="A184" s="118"/>
      <c r="B184" s="118"/>
      <c r="C184" s="119"/>
      <c r="D184" s="248"/>
      <c r="E184" s="34"/>
      <c r="F184" s="35"/>
      <c r="J184" s="211"/>
      <c r="K184" s="211"/>
      <c r="L184" s="211"/>
      <c r="M184" s="211"/>
      <c r="N184" s="211"/>
      <c r="O184" s="211"/>
      <c r="P184" s="211"/>
      <c r="Q184" s="211"/>
      <c r="R184" s="211"/>
      <c r="S184" s="3"/>
      <c r="T184" s="3"/>
      <c r="V184" s="106"/>
      <c r="W184" s="106"/>
      <c r="X184" s="109"/>
    </row>
    <row r="185" spans="1:24" s="105" customFormat="1">
      <c r="A185" s="118"/>
      <c r="B185" s="118"/>
      <c r="C185" s="119"/>
      <c r="D185" s="108"/>
      <c r="E185" s="209" t="s">
        <v>371</v>
      </c>
      <c r="H185" s="212"/>
      <c r="J185" s="211"/>
      <c r="K185" s="211"/>
      <c r="L185" s="211"/>
      <c r="M185" s="211"/>
      <c r="N185" s="211"/>
      <c r="O185" s="211"/>
      <c r="P185" s="211"/>
      <c r="Q185" s="211"/>
      <c r="R185" s="211"/>
      <c r="S185" s="3"/>
      <c r="T185" s="3"/>
      <c r="V185" s="106"/>
      <c r="W185" s="106"/>
      <c r="X185" s="109"/>
    </row>
    <row r="186" spans="1:24" s="105" customFormat="1">
      <c r="A186" s="118"/>
      <c r="B186" s="118"/>
      <c r="C186" s="119"/>
      <c r="D186" s="251" t="s">
        <v>13</v>
      </c>
      <c r="E186" s="210" t="s">
        <v>372</v>
      </c>
      <c r="F186" s="35" t="s">
        <v>14</v>
      </c>
      <c r="K186" s="106"/>
      <c r="L186" s="110"/>
      <c r="P186" s="302">
        <f>SUM(L183:P183)</f>
        <v>0</v>
      </c>
      <c r="Q186" s="126"/>
      <c r="R186" s="3"/>
      <c r="S186" s="3"/>
      <c r="T186" s="3"/>
      <c r="V186" s="106"/>
      <c r="W186" s="106"/>
      <c r="X186" s="109"/>
    </row>
    <row r="187" spans="1:24" s="105" customFormat="1">
      <c r="A187" s="118"/>
      <c r="B187" s="118"/>
      <c r="C187" s="119"/>
      <c r="D187" s="251"/>
      <c r="E187" s="210"/>
      <c r="F187" s="35"/>
      <c r="K187" s="106"/>
      <c r="L187" s="110"/>
      <c r="Q187" s="126"/>
      <c r="R187" s="3"/>
      <c r="S187" s="3"/>
      <c r="T187" s="3"/>
      <c r="V187" s="106"/>
      <c r="W187" s="106"/>
      <c r="X187" s="109"/>
    </row>
    <row r="188" spans="1:24" s="23" customFormat="1" ht="15">
      <c r="A188" s="20"/>
      <c r="B188" s="20"/>
      <c r="C188" s="20"/>
      <c r="D188" s="247"/>
      <c r="E188" s="22" t="s">
        <v>252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3" customFormat="1">
      <c r="D189" s="246"/>
    </row>
    <row r="190" spans="1:24" s="23" customFormat="1" ht="15">
      <c r="A190" s="20"/>
      <c r="B190" s="20"/>
      <c r="C190" s="20"/>
      <c r="D190" s="247"/>
      <c r="E190" s="22" t="s">
        <v>251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s="105" customFormat="1">
      <c r="A191" s="118"/>
      <c r="B191" s="118"/>
      <c r="C191" s="119"/>
      <c r="D191" s="252"/>
      <c r="K191" s="106"/>
      <c r="L191" s="110"/>
      <c r="Q191" s="119"/>
      <c r="R191" s="3"/>
      <c r="S191" s="3"/>
      <c r="T191" s="3"/>
      <c r="V191" s="106"/>
      <c r="W191" s="106"/>
      <c r="X191" s="109"/>
    </row>
    <row r="192" spans="1:24">
      <c r="D192" s="29" t="s">
        <v>21</v>
      </c>
      <c r="E192" s="129" t="s">
        <v>123</v>
      </c>
      <c r="F192" s="35"/>
      <c r="G192" s="243">
        <f>IF(SUM(Baseline.Totex.Water)&lt;&gt;0,SUMPRODUCT(PAYG.Water,Baseline.Totex.Water)/SUM(Baseline.Totex.Water),0)</f>
        <v>0.59532570850583277</v>
      </c>
      <c r="H192" s="126" t="s">
        <v>124</v>
      </c>
    </row>
    <row r="193" spans="1:24">
      <c r="D193" s="29" t="s">
        <v>21</v>
      </c>
      <c r="E193" s="129" t="s">
        <v>125</v>
      </c>
      <c r="F193" s="35"/>
      <c r="G193" s="275">
        <f>IF(SUM(Baseline.Totex.Sewerage)&lt;&gt;0,SUMPRODUCT(PAYG.Sewerage,Baseline.Totex.Sewerage)/SUM(Baseline.Totex.Sewerage),0)</f>
        <v>0.55910484027983187</v>
      </c>
      <c r="H193" s="126" t="s">
        <v>126</v>
      </c>
    </row>
    <row r="194" spans="1:24"/>
    <row r="195" spans="1:24" s="23" customFormat="1" ht="15">
      <c r="A195" s="20"/>
      <c r="B195" s="20"/>
      <c r="C195" s="20"/>
      <c r="D195" s="247"/>
      <c r="E195" s="22" t="s">
        <v>127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s="105" customFormat="1">
      <c r="A196" s="118"/>
      <c r="B196" s="118"/>
      <c r="C196" s="119"/>
      <c r="D196" s="252"/>
      <c r="K196" s="106"/>
      <c r="L196" s="110"/>
      <c r="Q196" s="119"/>
      <c r="R196" s="3"/>
      <c r="S196" s="3"/>
      <c r="T196" s="3"/>
      <c r="V196" s="106"/>
      <c r="W196" s="106"/>
      <c r="X196" s="109"/>
    </row>
    <row r="197" spans="1:24" s="262" customFormat="1">
      <c r="A197" s="118"/>
      <c r="B197" s="118"/>
      <c r="C197" s="118"/>
      <c r="D197" s="251" t="s">
        <v>13</v>
      </c>
      <c r="E197" s="173" t="s">
        <v>128</v>
      </c>
      <c r="F197" s="35" t="s">
        <v>14</v>
      </c>
      <c r="G197" s="173"/>
      <c r="H197" s="118"/>
      <c r="I197" s="118"/>
      <c r="J197" s="118"/>
      <c r="K197" s="118"/>
      <c r="L197" s="118"/>
      <c r="M197" s="118"/>
      <c r="N197" s="118"/>
      <c r="O197" s="118"/>
      <c r="P197" s="125">
        <f>Total.Adj.Water*WeightedPAYG.Water+P130+P113</f>
        <v>-7.7117638706006293</v>
      </c>
      <c r="Q197" s="118"/>
      <c r="R197" s="118"/>
      <c r="S197" s="118"/>
      <c r="T197" s="118"/>
      <c r="U197" s="118"/>
      <c r="V197" s="119"/>
      <c r="W197" s="118"/>
      <c r="X197" s="130"/>
    </row>
    <row r="198" spans="1:24" s="262" customFormat="1">
      <c r="A198" s="118"/>
      <c r="B198" s="118"/>
      <c r="C198" s="118"/>
      <c r="D198" s="251" t="s">
        <v>13</v>
      </c>
      <c r="E198" s="173" t="s">
        <v>129</v>
      </c>
      <c r="F198" s="35" t="s">
        <v>14</v>
      </c>
      <c r="G198" s="173"/>
      <c r="H198" s="118"/>
      <c r="I198" s="118"/>
      <c r="J198" s="118"/>
      <c r="K198" s="118"/>
      <c r="L198" s="118"/>
      <c r="M198" s="118"/>
      <c r="N198" s="118"/>
      <c r="O198" s="118"/>
      <c r="P198" s="297">
        <f>Total.Adj.Sewerage*WeightedPAYG.Sewerage+P114</f>
        <v>-19.640050432686905</v>
      </c>
      <c r="Q198" s="118"/>
      <c r="R198" s="118"/>
      <c r="S198" s="118"/>
      <c r="T198" s="118"/>
      <c r="U198" s="118"/>
      <c r="V198" s="119"/>
      <c r="W198" s="118"/>
      <c r="X198" s="130"/>
    </row>
    <row r="199" spans="1:24"/>
    <row r="200" spans="1:24" s="23" customFormat="1" ht="15">
      <c r="A200" s="20"/>
      <c r="B200" s="20"/>
      <c r="C200" s="20"/>
      <c r="D200" s="247"/>
      <c r="E200" s="22" t="s">
        <v>130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s="105" customFormat="1">
      <c r="A201" s="118"/>
      <c r="B201" s="118"/>
      <c r="C201" s="119"/>
      <c r="D201" s="252"/>
      <c r="K201" s="106"/>
      <c r="L201" s="110"/>
      <c r="Q201" s="119"/>
      <c r="R201" s="3"/>
      <c r="S201" s="3"/>
      <c r="T201" s="3"/>
      <c r="V201" s="106"/>
      <c r="W201" s="106"/>
      <c r="X201" s="109"/>
    </row>
    <row r="202" spans="1:24">
      <c r="A202" s="153"/>
      <c r="D202" s="251" t="s">
        <v>13</v>
      </c>
      <c r="E202" s="129" t="s">
        <v>131</v>
      </c>
      <c r="F202" s="35" t="s">
        <v>14</v>
      </c>
      <c r="P202" s="125">
        <f>Total.Adj.Water*(1-WeightedPAYG.Water)</f>
        <v>-13.510453310241418</v>
      </c>
      <c r="R202" s="118"/>
      <c r="S202" s="118"/>
    </row>
    <row r="203" spans="1:24">
      <c r="A203" s="153"/>
      <c r="D203" s="251" t="s">
        <v>13</v>
      </c>
      <c r="E203" s="129" t="s">
        <v>132</v>
      </c>
      <c r="F203" s="35" t="s">
        <v>14</v>
      </c>
      <c r="P203" s="125">
        <f>Total.Adj.Sewerage*(1-WeightedPAYG.Sewerage)+P186</f>
        <v>-153.11776836254018</v>
      </c>
      <c r="R203" s="118"/>
      <c r="S203" s="118"/>
    </row>
    <row r="204" spans="1:24"/>
    <row r="205" spans="1:24" ht="13.5" thickBot="1"/>
    <row r="206" spans="1:24" s="3" customFormat="1" ht="13.5" thickBot="1">
      <c r="A206" s="131" t="s">
        <v>133</v>
      </c>
      <c r="B206" s="132"/>
      <c r="C206" s="132"/>
      <c r="D206" s="25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K13" sqref="K13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133"/>
      <c r="B1" s="133"/>
      <c r="C1" s="133"/>
      <c r="D1" s="1" t="s">
        <v>185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147</v>
      </c>
    </row>
    <row r="4" spans="1:24" ht="12.75">
      <c r="V4" s="135"/>
    </row>
    <row r="5" spans="1:24" ht="12.75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148</v>
      </c>
    </row>
    <row r="6" spans="1:24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2.75"/>
    <row r="8" spans="1:24" ht="12.75"/>
    <row r="9" spans="1:24" s="23" customFormat="1" ht="15">
      <c r="A9" s="19"/>
      <c r="B9" s="20"/>
      <c r="C9" s="20"/>
      <c r="D9" s="21"/>
      <c r="E9" s="22" t="s">
        <v>186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2.75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2.75">
      <c r="A11" s="153"/>
      <c r="B11" s="3"/>
      <c r="C11" s="3"/>
      <c r="D11" s="248" t="s">
        <v>13</v>
      </c>
      <c r="E11" s="129" t="s">
        <v>128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Calcs!P197</f>
        <v>-7.7117638706006293</v>
      </c>
      <c r="Q11" s="3"/>
      <c r="R11" s="3"/>
      <c r="S11" s="3"/>
      <c r="T11" s="3"/>
      <c r="U11" s="3"/>
      <c r="V11" s="119"/>
      <c r="X11" s="130"/>
    </row>
    <row r="12" spans="1:24" s="118" customFormat="1" ht="12.75">
      <c r="A12" s="153"/>
      <c r="B12" s="3"/>
      <c r="C12" s="3"/>
      <c r="D12" s="248" t="s">
        <v>13</v>
      </c>
      <c r="E12" s="129" t="s">
        <v>129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Calcs!P198</f>
        <v>-19.640050432686905</v>
      </c>
      <c r="Q12" s="3"/>
      <c r="R12" s="3"/>
      <c r="S12" s="3"/>
      <c r="T12" s="3"/>
      <c r="U12" s="3"/>
      <c r="V12" s="119"/>
      <c r="X12" s="130"/>
    </row>
    <row r="13" spans="1:24" s="118" customFormat="1" ht="12.75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2.75">
      <c r="A14" s="153"/>
      <c r="B14" s="3"/>
      <c r="C14" s="3"/>
      <c r="D14" s="248" t="s">
        <v>13</v>
      </c>
      <c r="E14" s="214" t="s">
        <v>188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-27.351814303287533</v>
      </c>
      <c r="Q14" s="3"/>
      <c r="R14" s="3"/>
      <c r="S14" s="3"/>
      <c r="T14" s="3"/>
      <c r="U14" s="3"/>
      <c r="V14" s="119"/>
      <c r="X14" s="130"/>
    </row>
    <row r="15" spans="1:24" s="118" customFormat="1" ht="12.75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5">
      <c r="A16" s="19"/>
      <c r="B16" s="20"/>
      <c r="C16" s="20"/>
      <c r="D16" s="21"/>
      <c r="E16" s="22" t="s">
        <v>187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2.75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2.75">
      <c r="A18" s="153"/>
      <c r="B18" s="3"/>
      <c r="C18" s="3"/>
      <c r="D18" s="248" t="s">
        <v>13</v>
      </c>
      <c r="E18" s="129" t="s">
        <v>131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Calcs!P202</f>
        <v>-13.510453310241418</v>
      </c>
      <c r="Q18" s="3"/>
      <c r="R18" s="3"/>
      <c r="S18" s="3"/>
      <c r="T18" s="3"/>
      <c r="U18" s="3"/>
      <c r="V18" s="119"/>
      <c r="X18" s="130"/>
    </row>
    <row r="19" spans="1:24" s="118" customFormat="1" ht="12.75">
      <c r="A19" s="153"/>
      <c r="B19" s="3"/>
      <c r="C19" s="3"/>
      <c r="D19" s="248" t="s">
        <v>13</v>
      </c>
      <c r="E19" s="129" t="s">
        <v>132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Calcs!P203</f>
        <v>-153.11776836254018</v>
      </c>
      <c r="Q19" s="3"/>
      <c r="R19" s="3"/>
      <c r="S19" s="3"/>
      <c r="T19" s="3"/>
      <c r="U19" s="3"/>
      <c r="V19" s="119"/>
      <c r="X19" s="130"/>
    </row>
    <row r="20" spans="1:24" customFormat="1" ht="15">
      <c r="G20" s="7"/>
    </row>
    <row r="21" spans="1:24" s="118" customFormat="1" ht="12.75">
      <c r="A21" s="153"/>
      <c r="B21" s="3"/>
      <c r="C21" s="3"/>
      <c r="D21" s="248" t="s">
        <v>13</v>
      </c>
      <c r="E21" s="214" t="s">
        <v>189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-166.62822167278159</v>
      </c>
      <c r="Q21" s="3"/>
      <c r="R21" s="3"/>
      <c r="S21" s="3"/>
      <c r="T21" s="3"/>
      <c r="U21" s="3"/>
      <c r="V21" s="119"/>
      <c r="X21" s="130"/>
    </row>
    <row r="22" spans="1:24" ht="13.5" thickBot="1"/>
    <row r="23" spans="1:24" ht="13.5" thickBot="1">
      <c r="A23" s="143" t="s">
        <v>133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189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-166.62822167278159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195</v>
      </c>
    </row>
    <row r="47" spans="4:16" ht="0" hidden="1" customHeight="1">
      <c r="E47" s="7" t="s">
        <v>196</v>
      </c>
    </row>
    <row r="48" spans="4:16" ht="0" hidden="1" customHeight="1">
      <c r="E48" s="7" t="s">
        <v>197</v>
      </c>
    </row>
    <row r="51" spans="5:5" ht="0" hidden="1" customHeight="1">
      <c r="E51" s="7" t="s">
        <v>194</v>
      </c>
    </row>
  </sheetData>
  <pageMargins left="0.7" right="0.7" top="0.75" bottom="0.75" header="0.3" footer="0.3"/>
  <pageSetup paperSize="9" orientation="portrait" r:id="rId1"/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M121" sqref="M121"/>
      <selection pane="topRight" activeCell="M121" sqref="M121"/>
      <selection pane="bottomLeft" activeCell="M121" sqref="M121"/>
      <selection pane="bottomRight" activeCell="I11" sqref="I11:U22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80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100" customFormat="1" ht="33.75">
      <c r="A1" s="145"/>
      <c r="B1" s="145"/>
      <c r="C1" s="146"/>
      <c r="D1" s="1" t="s">
        <v>149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2.75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5">
      <c r="A3" s="156"/>
      <c r="B3" s="157"/>
      <c r="C3" s="158"/>
      <c r="D3" s="157"/>
      <c r="E3" s="159" t="s">
        <v>1</v>
      </c>
      <c r="F3" s="159"/>
      <c r="G3" s="159"/>
      <c r="H3" s="134" t="s">
        <v>150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2.75">
      <c r="B5" s="157"/>
      <c r="C5" s="158"/>
      <c r="D5" s="157"/>
      <c r="E5" s="157" t="s">
        <v>151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2.75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152</v>
      </c>
      <c r="J7" s="169" t="s">
        <v>152</v>
      </c>
      <c r="K7" s="169" t="s">
        <v>152</v>
      </c>
      <c r="L7" s="169" t="s">
        <v>152</v>
      </c>
      <c r="M7" s="169" t="s">
        <v>152</v>
      </c>
      <c r="N7" s="169" t="s">
        <v>152</v>
      </c>
      <c r="O7" s="169" t="s">
        <v>152</v>
      </c>
      <c r="P7" s="169" t="s">
        <v>152</v>
      </c>
      <c r="Q7" s="169" t="s">
        <v>152</v>
      </c>
      <c r="R7" s="169" t="s">
        <v>152</v>
      </c>
      <c r="S7" s="169" t="s">
        <v>152</v>
      </c>
      <c r="T7" s="169" t="s">
        <v>152</v>
      </c>
      <c r="U7" s="169" t="s">
        <v>152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153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154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2.75">
      <c r="B11" s="16">
        <v>1</v>
      </c>
      <c r="C11" s="155"/>
      <c r="D11" s="154" t="s">
        <v>155</v>
      </c>
      <c r="E11" s="170" t="s">
        <v>156</v>
      </c>
      <c r="F11" s="170"/>
      <c r="G11" s="170"/>
      <c r="I11" s="171">
        <v>242.5</v>
      </c>
      <c r="J11" s="171">
        <v>249.5</v>
      </c>
      <c r="K11" s="171">
        <v>255.7</v>
      </c>
      <c r="L11" s="171">
        <v>258</v>
      </c>
      <c r="M11" s="171">
        <v>261.39999999999998</v>
      </c>
      <c r="N11" s="171">
        <v>270.60000000000002</v>
      </c>
      <c r="O11" s="171">
        <v>279.80040000000002</v>
      </c>
      <c r="P11" s="171">
        <v>288.4742124</v>
      </c>
      <c r="Q11" s="171">
        <v>297.12843877199998</v>
      </c>
      <c r="R11" s="171">
        <v>306.04229193515999</v>
      </c>
      <c r="S11" s="171">
        <v>315.22356069321478</v>
      </c>
      <c r="T11" s="171">
        <v>324.68026751401123</v>
      </c>
      <c r="U11" s="171">
        <v>334.42067553943156</v>
      </c>
      <c r="V11" s="167"/>
    </row>
    <row r="12" spans="1:24" s="153" customFormat="1" ht="12.75">
      <c r="B12" s="16">
        <v>2</v>
      </c>
      <c r="C12" s="155"/>
      <c r="D12" s="154" t="s">
        <v>155</v>
      </c>
      <c r="E12" s="170" t="s">
        <v>157</v>
      </c>
      <c r="F12" s="170"/>
      <c r="G12" s="170"/>
      <c r="I12" s="171">
        <v>242.4</v>
      </c>
      <c r="J12" s="171">
        <v>250</v>
      </c>
      <c r="K12" s="171">
        <v>255.9</v>
      </c>
      <c r="L12" s="171">
        <v>258.5</v>
      </c>
      <c r="M12" s="171">
        <v>262.10000000000002</v>
      </c>
      <c r="N12" s="171">
        <v>271.7</v>
      </c>
      <c r="O12" s="171">
        <v>280.93779999999998</v>
      </c>
      <c r="P12" s="171">
        <v>289.64687179999999</v>
      </c>
      <c r="Q12" s="171">
        <v>298.33627795399997</v>
      </c>
      <c r="R12" s="171">
        <v>307.28636629261996</v>
      </c>
      <c r="S12" s="171">
        <v>316.50495728139856</v>
      </c>
      <c r="T12" s="171">
        <v>326.00010599984051</v>
      </c>
      <c r="U12" s="171">
        <v>335.78010917983573</v>
      </c>
      <c r="V12" s="167"/>
    </row>
    <row r="13" spans="1:24" s="153" customFormat="1" ht="12.75">
      <c r="B13" s="16">
        <v>3</v>
      </c>
      <c r="C13" s="155"/>
      <c r="D13" s="154" t="s">
        <v>155</v>
      </c>
      <c r="E13" s="170" t="s">
        <v>158</v>
      </c>
      <c r="F13" s="170"/>
      <c r="G13" s="170"/>
      <c r="I13" s="171">
        <v>241.8</v>
      </c>
      <c r="J13" s="171">
        <v>249.7</v>
      </c>
      <c r="K13" s="171">
        <v>256.3</v>
      </c>
      <c r="L13" s="171">
        <v>258.89999999999998</v>
      </c>
      <c r="M13" s="171">
        <v>263.10000000000002</v>
      </c>
      <c r="N13" s="171">
        <v>272.3</v>
      </c>
      <c r="O13" s="171">
        <v>281.5582</v>
      </c>
      <c r="P13" s="171">
        <v>290.28650419999997</v>
      </c>
      <c r="Q13" s="171">
        <v>298.995099326</v>
      </c>
      <c r="R13" s="171">
        <v>307.96495230578</v>
      </c>
      <c r="S13" s="171">
        <v>317.20390087495343</v>
      </c>
      <c r="T13" s="171">
        <v>326.72001790120203</v>
      </c>
      <c r="U13" s="171">
        <v>336.52161843823808</v>
      </c>
      <c r="V13" s="167"/>
    </row>
    <row r="14" spans="1:24" s="153" customFormat="1" ht="12.75">
      <c r="B14" s="16">
        <v>4</v>
      </c>
      <c r="C14" s="155"/>
      <c r="D14" s="154" t="s">
        <v>155</v>
      </c>
      <c r="E14" s="170" t="s">
        <v>159</v>
      </c>
      <c r="F14" s="170"/>
      <c r="G14" s="170"/>
      <c r="I14" s="171">
        <v>242.1</v>
      </c>
      <c r="J14" s="171">
        <v>249.7</v>
      </c>
      <c r="K14" s="171">
        <v>256</v>
      </c>
      <c r="L14" s="171">
        <v>258.60000000000002</v>
      </c>
      <c r="M14" s="171">
        <v>263.39999999999998</v>
      </c>
      <c r="N14" s="171">
        <v>272.89999999999998</v>
      </c>
      <c r="O14" s="171">
        <v>282.17859999999996</v>
      </c>
      <c r="P14" s="171">
        <v>290.92613659999995</v>
      </c>
      <c r="Q14" s="171">
        <v>299.65392069799998</v>
      </c>
      <c r="R14" s="171">
        <v>308.64353831893999</v>
      </c>
      <c r="S14" s="171">
        <v>317.90284446850819</v>
      </c>
      <c r="T14" s="171">
        <v>327.43992980256343</v>
      </c>
      <c r="U14" s="171">
        <v>337.26312769664031</v>
      </c>
      <c r="V14" s="167"/>
    </row>
    <row r="15" spans="1:24" s="153" customFormat="1" ht="12.75">
      <c r="B15" s="16">
        <v>5</v>
      </c>
      <c r="C15" s="155"/>
      <c r="D15" s="154" t="s">
        <v>155</v>
      </c>
      <c r="E15" s="170" t="s">
        <v>160</v>
      </c>
      <c r="F15" s="170"/>
      <c r="G15" s="170"/>
      <c r="I15" s="171">
        <v>243</v>
      </c>
      <c r="J15" s="171">
        <v>251</v>
      </c>
      <c r="K15" s="171">
        <v>257</v>
      </c>
      <c r="L15" s="171">
        <v>259.8</v>
      </c>
      <c r="M15" s="171">
        <v>264.39999999999998</v>
      </c>
      <c r="N15" s="171">
        <v>274.7</v>
      </c>
      <c r="O15" s="171">
        <v>284.03980000000001</v>
      </c>
      <c r="P15" s="171">
        <v>292.84503380000001</v>
      </c>
      <c r="Q15" s="171">
        <v>301.63038481400002</v>
      </c>
      <c r="R15" s="171">
        <v>310.67929635842006</v>
      </c>
      <c r="S15" s="171">
        <v>319.9996752491727</v>
      </c>
      <c r="T15" s="171">
        <v>329.59966550664791</v>
      </c>
      <c r="U15" s="171">
        <v>339.48765547184735</v>
      </c>
      <c r="V15" s="167"/>
    </row>
    <row r="16" spans="1:24" s="153" customFormat="1" ht="12.75">
      <c r="B16" s="16">
        <v>6</v>
      </c>
      <c r="C16" s="155"/>
      <c r="D16" s="154" t="s">
        <v>155</v>
      </c>
      <c r="E16" s="170" t="s">
        <v>161</v>
      </c>
      <c r="F16" s="170"/>
      <c r="G16" s="170"/>
      <c r="I16" s="171">
        <v>244.2</v>
      </c>
      <c r="J16" s="171">
        <v>251.9</v>
      </c>
      <c r="K16" s="171">
        <v>257.60000000000002</v>
      </c>
      <c r="L16" s="171">
        <v>259.60000000000002</v>
      </c>
      <c r="M16" s="171">
        <v>264.89999999999998</v>
      </c>
      <c r="N16" s="171">
        <v>275.10000000000002</v>
      </c>
      <c r="O16" s="171">
        <v>284.45340000000004</v>
      </c>
      <c r="P16" s="171">
        <v>293.27145540000004</v>
      </c>
      <c r="Q16" s="171">
        <v>302.06959906200007</v>
      </c>
      <c r="R16" s="171">
        <v>311.13168703386009</v>
      </c>
      <c r="S16" s="171">
        <v>320.46563764487593</v>
      </c>
      <c r="T16" s="171">
        <v>330.07960677422221</v>
      </c>
      <c r="U16" s="171">
        <v>339.98199497744889</v>
      </c>
      <c r="V16" s="167"/>
    </row>
    <row r="17" spans="2:22" s="153" customFormat="1" ht="12.75">
      <c r="B17" s="16">
        <v>7</v>
      </c>
      <c r="C17" s="155"/>
      <c r="D17" s="154" t="s">
        <v>155</v>
      </c>
      <c r="E17" s="170" t="s">
        <v>162</v>
      </c>
      <c r="F17" s="170"/>
      <c r="G17" s="170"/>
      <c r="I17" s="171">
        <v>245.6</v>
      </c>
      <c r="J17" s="171">
        <v>251.9</v>
      </c>
      <c r="K17" s="171">
        <v>257.7</v>
      </c>
      <c r="L17" s="171">
        <v>259.5</v>
      </c>
      <c r="M17" s="171">
        <v>264.8</v>
      </c>
      <c r="N17" s="171">
        <v>275.3</v>
      </c>
      <c r="O17" s="171">
        <v>284.66020000000003</v>
      </c>
      <c r="P17" s="171">
        <v>293.48466619999999</v>
      </c>
      <c r="Q17" s="171">
        <v>302.289206186</v>
      </c>
      <c r="R17" s="171">
        <v>311.35788237157999</v>
      </c>
      <c r="S17" s="171">
        <v>320.6986188427274</v>
      </c>
      <c r="T17" s="171">
        <v>330.31957740800925</v>
      </c>
      <c r="U17" s="171">
        <v>340.22916473024952</v>
      </c>
      <c r="V17" s="167"/>
    </row>
    <row r="18" spans="2:22" s="153" customFormat="1" ht="12.75">
      <c r="B18" s="16">
        <v>8</v>
      </c>
      <c r="C18" s="155"/>
      <c r="D18" s="154" t="s">
        <v>155</v>
      </c>
      <c r="E18" s="170" t="s">
        <v>163</v>
      </c>
      <c r="F18" s="170"/>
      <c r="G18" s="170"/>
      <c r="H18" s="171">
        <v>238.5</v>
      </c>
      <c r="I18" s="171">
        <v>245.6</v>
      </c>
      <c r="J18" s="171">
        <v>252.1</v>
      </c>
      <c r="K18" s="171">
        <v>257.10000000000002</v>
      </c>
      <c r="L18" s="171">
        <v>259.8</v>
      </c>
      <c r="M18" s="171">
        <v>265.5</v>
      </c>
      <c r="N18" s="171">
        <v>275.8</v>
      </c>
      <c r="O18" s="171">
        <v>285.17720000000003</v>
      </c>
      <c r="P18" s="171">
        <v>294.0176932</v>
      </c>
      <c r="Q18" s="171">
        <v>302.83822399600001</v>
      </c>
      <c r="R18" s="171">
        <v>311.92337071588003</v>
      </c>
      <c r="S18" s="171">
        <v>321.28107183735642</v>
      </c>
      <c r="T18" s="171">
        <v>330.91950399247713</v>
      </c>
      <c r="U18" s="171">
        <v>340.84708911225147</v>
      </c>
      <c r="V18" s="167"/>
    </row>
    <row r="19" spans="2:22" s="153" customFormat="1" ht="12.75">
      <c r="B19" s="16">
        <v>9</v>
      </c>
      <c r="C19" s="155"/>
      <c r="D19" s="154" t="s">
        <v>155</v>
      </c>
      <c r="E19" s="170" t="s">
        <v>164</v>
      </c>
      <c r="F19" s="170"/>
      <c r="G19" s="170"/>
      <c r="I19" s="171">
        <v>246.8</v>
      </c>
      <c r="J19" s="171">
        <v>253.4</v>
      </c>
      <c r="K19" s="171">
        <v>257.5</v>
      </c>
      <c r="L19" s="171">
        <v>260.60000000000002</v>
      </c>
      <c r="M19" s="171">
        <v>267.10000000000002</v>
      </c>
      <c r="N19" s="171">
        <v>278.10000000000002</v>
      </c>
      <c r="O19" s="171">
        <v>287.55540000000002</v>
      </c>
      <c r="P19" s="171">
        <v>296.4696174</v>
      </c>
      <c r="Q19" s="171">
        <v>305.36370592200001</v>
      </c>
      <c r="R19" s="171">
        <v>314.52461709966002</v>
      </c>
      <c r="S19" s="171">
        <v>323.96035561264983</v>
      </c>
      <c r="T19" s="171">
        <v>333.67916628102932</v>
      </c>
      <c r="U19" s="171">
        <v>343.68954126946022</v>
      </c>
      <c r="V19" s="167"/>
    </row>
    <row r="20" spans="2:22" s="153" customFormat="1" ht="12.75">
      <c r="B20" s="16">
        <v>10</v>
      </c>
      <c r="C20" s="155"/>
      <c r="D20" s="154" t="s">
        <v>155</v>
      </c>
      <c r="E20" s="170" t="s">
        <v>165</v>
      </c>
      <c r="F20" s="170"/>
      <c r="G20" s="170"/>
      <c r="I20" s="171">
        <v>245.8</v>
      </c>
      <c r="J20" s="171">
        <v>252.6</v>
      </c>
      <c r="K20" s="171">
        <v>255.4</v>
      </c>
      <c r="L20" s="171">
        <v>258.8</v>
      </c>
      <c r="M20" s="171">
        <v>265.5</v>
      </c>
      <c r="N20" s="171">
        <v>276</v>
      </c>
      <c r="O20" s="171">
        <v>285.38400000000001</v>
      </c>
      <c r="P20" s="171">
        <v>294.23090400000001</v>
      </c>
      <c r="Q20" s="171">
        <v>303.05783112</v>
      </c>
      <c r="R20" s="171">
        <v>312.14956605359998</v>
      </c>
      <c r="S20" s="171">
        <v>321.51405303520801</v>
      </c>
      <c r="T20" s="171">
        <v>331.15947462626428</v>
      </c>
      <c r="U20" s="171">
        <v>341.09425886505221</v>
      </c>
      <c r="V20" s="167"/>
    </row>
    <row r="21" spans="2:22" s="153" customFormat="1" ht="12.75">
      <c r="B21" s="16">
        <v>11</v>
      </c>
      <c r="C21" s="155"/>
      <c r="D21" s="154" t="s">
        <v>155</v>
      </c>
      <c r="E21" s="170" t="s">
        <v>166</v>
      </c>
      <c r="F21" s="170"/>
      <c r="G21" s="170"/>
      <c r="I21" s="171">
        <v>247.6</v>
      </c>
      <c r="J21" s="171">
        <v>254.2</v>
      </c>
      <c r="K21" s="171">
        <v>256.7</v>
      </c>
      <c r="L21" s="171">
        <v>260</v>
      </c>
      <c r="M21" s="171">
        <v>268.39999999999998</v>
      </c>
      <c r="N21" s="171">
        <v>278.10000000000002</v>
      </c>
      <c r="O21" s="171">
        <v>287.55540000000002</v>
      </c>
      <c r="P21" s="171">
        <v>296.4696174</v>
      </c>
      <c r="Q21" s="171">
        <v>305.36370592200001</v>
      </c>
      <c r="R21" s="171">
        <v>314.52461709966002</v>
      </c>
      <c r="S21" s="171">
        <v>323.96035561264983</v>
      </c>
      <c r="T21" s="171">
        <v>333.67916628102932</v>
      </c>
      <c r="U21" s="171">
        <v>343.68954126946022</v>
      </c>
      <c r="V21" s="167"/>
    </row>
    <row r="22" spans="2:22" s="153" customFormat="1" ht="12.75">
      <c r="B22" s="16">
        <v>12</v>
      </c>
      <c r="C22" s="155"/>
      <c r="D22" s="154" t="s">
        <v>155</v>
      </c>
      <c r="E22" s="170" t="s">
        <v>167</v>
      </c>
      <c r="F22" s="170"/>
      <c r="G22" s="170"/>
      <c r="I22" s="171">
        <v>248.7</v>
      </c>
      <c r="J22" s="171">
        <v>254.8</v>
      </c>
      <c r="K22" s="171">
        <v>257.10000000000002</v>
      </c>
      <c r="L22" s="171">
        <v>261.10000000000002</v>
      </c>
      <c r="M22" s="171">
        <v>269.3</v>
      </c>
      <c r="N22" s="171">
        <v>278.3</v>
      </c>
      <c r="O22" s="171">
        <v>287.76220000000001</v>
      </c>
      <c r="P22" s="171">
        <v>296.68282819999996</v>
      </c>
      <c r="Q22" s="171">
        <v>305.58331304599994</v>
      </c>
      <c r="R22" s="171">
        <v>314.75081243737998</v>
      </c>
      <c r="S22" s="171">
        <v>324.19333681050136</v>
      </c>
      <c r="T22" s="171">
        <v>333.91913691481642</v>
      </c>
      <c r="U22" s="171">
        <v>343.93671102226091</v>
      </c>
      <c r="V22" s="167"/>
    </row>
    <row r="23" spans="2:22" s="153" customFormat="1" ht="12.75">
      <c r="B23" s="172"/>
      <c r="C23" s="172"/>
      <c r="D23" s="173"/>
      <c r="E23" s="170" t="s">
        <v>168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2.75">
      <c r="B24" s="175"/>
      <c r="C24" s="176"/>
      <c r="D24" s="175" t="s">
        <v>169</v>
      </c>
      <c r="E24" s="175" t="s">
        <v>170</v>
      </c>
      <c r="F24" s="175"/>
      <c r="G24" s="175"/>
      <c r="I24" s="202" t="s">
        <v>152</v>
      </c>
      <c r="J24" s="202" t="s">
        <v>152</v>
      </c>
      <c r="K24" s="202" t="s">
        <v>152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178"/>
    </row>
    <row r="25" spans="2:22" s="177" customFormat="1" ht="12.75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2.75">
      <c r="B26" s="175"/>
      <c r="C26" s="176" t="s">
        <v>171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172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152</v>
      </c>
      <c r="J27" s="169" t="s">
        <v>152</v>
      </c>
      <c r="K27" s="169" t="s">
        <v>152</v>
      </c>
      <c r="L27" s="169" t="s">
        <v>152</v>
      </c>
      <c r="M27" s="169" t="s">
        <v>152</v>
      </c>
      <c r="N27" s="169" t="s">
        <v>152</v>
      </c>
      <c r="O27" s="169" t="s">
        <v>152</v>
      </c>
      <c r="P27" s="169" t="s">
        <v>152</v>
      </c>
      <c r="Q27" s="169" t="s">
        <v>152</v>
      </c>
      <c r="R27" s="169" t="s">
        <v>152</v>
      </c>
      <c r="S27" s="169" t="s">
        <v>152</v>
      </c>
      <c r="T27" s="169" t="s">
        <v>152</v>
      </c>
      <c r="U27" s="169" t="s">
        <v>152</v>
      </c>
      <c r="V27" s="167"/>
    </row>
    <row r="28" spans="2:22" s="153" customFormat="1" ht="12.75" customHeight="1">
      <c r="B28" s="154"/>
      <c r="D28" s="154"/>
      <c r="E28" s="168" t="s">
        <v>173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155</v>
      </c>
      <c r="E29" s="170" t="s">
        <v>156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255.7</v>
      </c>
      <c r="L29" s="179">
        <f t="shared" si="2"/>
        <v>258</v>
      </c>
      <c r="M29" s="179">
        <f t="shared" si="2"/>
        <v>261.39999999999998</v>
      </c>
      <c r="N29" s="179">
        <f t="shared" si="2"/>
        <v>270.60000000000002</v>
      </c>
      <c r="O29" s="179">
        <f t="shared" si="2"/>
        <v>279.80040000000002</v>
      </c>
      <c r="P29" s="179">
        <f t="shared" si="2"/>
        <v>288.4742124</v>
      </c>
      <c r="Q29" s="179">
        <f t="shared" si="2"/>
        <v>297.12843877199998</v>
      </c>
      <c r="R29" s="179">
        <f t="shared" si="2"/>
        <v>306.04229193515999</v>
      </c>
      <c r="S29" s="179">
        <f t="shared" si="2"/>
        <v>315.22356069321478</v>
      </c>
      <c r="T29" s="179">
        <f t="shared" si="2"/>
        <v>324.68026751401123</v>
      </c>
      <c r="U29" s="179">
        <f t="shared" si="2"/>
        <v>334.42067553943156</v>
      </c>
    </row>
    <row r="30" spans="2:22" ht="12.75" customHeight="1">
      <c r="B30" s="16">
        <v>2</v>
      </c>
      <c r="C30" s="172"/>
      <c r="D30" s="173" t="s">
        <v>155</v>
      </c>
      <c r="E30" s="170" t="s">
        <v>157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255.9</v>
      </c>
      <c r="L30" s="179">
        <f t="shared" si="3"/>
        <v>258.5</v>
      </c>
      <c r="M30" s="179">
        <f t="shared" si="3"/>
        <v>262.10000000000002</v>
      </c>
      <c r="N30" s="179">
        <f t="shared" si="3"/>
        <v>271.7</v>
      </c>
      <c r="O30" s="179">
        <f t="shared" si="3"/>
        <v>280.93779999999998</v>
      </c>
      <c r="P30" s="179">
        <f t="shared" si="3"/>
        <v>289.64687179999999</v>
      </c>
      <c r="Q30" s="179">
        <f t="shared" si="3"/>
        <v>298.33627795399997</v>
      </c>
      <c r="R30" s="179">
        <f t="shared" si="3"/>
        <v>307.28636629261996</v>
      </c>
      <c r="S30" s="179">
        <f t="shared" si="3"/>
        <v>316.50495728139856</v>
      </c>
      <c r="T30" s="179">
        <f t="shared" si="3"/>
        <v>326.00010599984051</v>
      </c>
      <c r="U30" s="179">
        <f t="shared" si="3"/>
        <v>335.78010917983573</v>
      </c>
    </row>
    <row r="31" spans="2:22" ht="12.75" customHeight="1">
      <c r="B31" s="16">
        <v>3</v>
      </c>
      <c r="C31" s="172"/>
      <c r="D31" s="173" t="s">
        <v>155</v>
      </c>
      <c r="E31" s="170" t="s">
        <v>158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256.3</v>
      </c>
      <c r="L31" s="179">
        <f t="shared" si="3"/>
        <v>258.89999999999998</v>
      </c>
      <c r="M31" s="179">
        <f t="shared" si="3"/>
        <v>263.10000000000002</v>
      </c>
      <c r="N31" s="179">
        <f t="shared" si="3"/>
        <v>272.3</v>
      </c>
      <c r="O31" s="179">
        <f t="shared" si="3"/>
        <v>281.5582</v>
      </c>
      <c r="P31" s="179">
        <f t="shared" si="3"/>
        <v>290.28650419999997</v>
      </c>
      <c r="Q31" s="179">
        <f t="shared" si="3"/>
        <v>298.995099326</v>
      </c>
      <c r="R31" s="179">
        <f t="shared" si="3"/>
        <v>307.96495230578</v>
      </c>
      <c r="S31" s="179">
        <f t="shared" si="3"/>
        <v>317.20390087495343</v>
      </c>
      <c r="T31" s="179">
        <f t="shared" si="3"/>
        <v>326.72001790120203</v>
      </c>
      <c r="U31" s="179">
        <f t="shared" si="3"/>
        <v>336.52161843823808</v>
      </c>
    </row>
    <row r="32" spans="2:22" ht="12.75" customHeight="1">
      <c r="B32" s="16">
        <v>4</v>
      </c>
      <c r="C32" s="172"/>
      <c r="D32" s="173" t="s">
        <v>155</v>
      </c>
      <c r="E32" s="170" t="s">
        <v>159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256</v>
      </c>
      <c r="L32" s="179">
        <f t="shared" si="3"/>
        <v>258.60000000000002</v>
      </c>
      <c r="M32" s="179">
        <f t="shared" si="3"/>
        <v>263.39999999999998</v>
      </c>
      <c r="N32" s="179">
        <f t="shared" si="3"/>
        <v>272.89999999999998</v>
      </c>
      <c r="O32" s="179">
        <f t="shared" si="3"/>
        <v>282.17859999999996</v>
      </c>
      <c r="P32" s="179">
        <f t="shared" si="3"/>
        <v>290.92613659999995</v>
      </c>
      <c r="Q32" s="179">
        <f t="shared" si="3"/>
        <v>299.65392069799998</v>
      </c>
      <c r="R32" s="179">
        <f t="shared" si="3"/>
        <v>308.64353831893999</v>
      </c>
      <c r="S32" s="179">
        <f t="shared" si="3"/>
        <v>317.90284446850819</v>
      </c>
      <c r="T32" s="179">
        <f t="shared" si="3"/>
        <v>327.43992980256343</v>
      </c>
      <c r="U32" s="179">
        <f t="shared" si="3"/>
        <v>337.26312769664031</v>
      </c>
    </row>
    <row r="33" spans="2:22" ht="12.75" customHeight="1">
      <c r="B33" s="16">
        <v>5</v>
      </c>
      <c r="C33" s="172"/>
      <c r="D33" s="173" t="s">
        <v>155</v>
      </c>
      <c r="E33" s="170" t="s">
        <v>160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257</v>
      </c>
      <c r="L33" s="179">
        <f t="shared" si="3"/>
        <v>259.8</v>
      </c>
      <c r="M33" s="179">
        <f t="shared" si="3"/>
        <v>264.39999999999998</v>
      </c>
      <c r="N33" s="179">
        <f t="shared" si="3"/>
        <v>274.7</v>
      </c>
      <c r="O33" s="179">
        <f t="shared" si="3"/>
        <v>284.03980000000001</v>
      </c>
      <c r="P33" s="179">
        <f t="shared" si="3"/>
        <v>292.84503380000001</v>
      </c>
      <c r="Q33" s="179">
        <f t="shared" si="3"/>
        <v>301.63038481400002</v>
      </c>
      <c r="R33" s="179">
        <f t="shared" si="3"/>
        <v>310.67929635842006</v>
      </c>
      <c r="S33" s="179">
        <f t="shared" si="3"/>
        <v>319.9996752491727</v>
      </c>
      <c r="T33" s="179">
        <f t="shared" si="3"/>
        <v>329.59966550664791</v>
      </c>
      <c r="U33" s="179">
        <f t="shared" si="3"/>
        <v>339.48765547184735</v>
      </c>
    </row>
    <row r="34" spans="2:22" ht="12.75" customHeight="1">
      <c r="B34" s="16">
        <v>6</v>
      </c>
      <c r="C34" s="172"/>
      <c r="D34" s="173" t="s">
        <v>155</v>
      </c>
      <c r="E34" s="170" t="s">
        <v>161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257.60000000000002</v>
      </c>
      <c r="L34" s="179">
        <f t="shared" si="3"/>
        <v>259.60000000000002</v>
      </c>
      <c r="M34" s="179">
        <f t="shared" si="3"/>
        <v>264.89999999999998</v>
      </c>
      <c r="N34" s="179">
        <f t="shared" si="3"/>
        <v>275.10000000000002</v>
      </c>
      <c r="O34" s="179">
        <f t="shared" si="3"/>
        <v>284.45340000000004</v>
      </c>
      <c r="P34" s="179">
        <f t="shared" si="3"/>
        <v>293.27145540000004</v>
      </c>
      <c r="Q34" s="179">
        <f t="shared" si="3"/>
        <v>302.06959906200007</v>
      </c>
      <c r="R34" s="179">
        <f t="shared" si="3"/>
        <v>311.13168703386009</v>
      </c>
      <c r="S34" s="179">
        <f t="shared" si="3"/>
        <v>320.46563764487593</v>
      </c>
      <c r="T34" s="179">
        <f t="shared" si="3"/>
        <v>330.07960677422221</v>
      </c>
      <c r="U34" s="179">
        <f t="shared" si="3"/>
        <v>339.98199497744889</v>
      </c>
    </row>
    <row r="35" spans="2:22" ht="12.75" customHeight="1">
      <c r="B35" s="16">
        <v>7</v>
      </c>
      <c r="C35" s="172"/>
      <c r="D35" s="173" t="s">
        <v>155</v>
      </c>
      <c r="E35" s="170" t="s">
        <v>162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257.7</v>
      </c>
      <c r="L35" s="179">
        <f t="shared" si="3"/>
        <v>259.5</v>
      </c>
      <c r="M35" s="179">
        <f t="shared" si="3"/>
        <v>264.8</v>
      </c>
      <c r="N35" s="179">
        <f t="shared" si="3"/>
        <v>275.3</v>
      </c>
      <c r="O35" s="179">
        <f t="shared" si="3"/>
        <v>284.66020000000003</v>
      </c>
      <c r="P35" s="179">
        <f t="shared" si="3"/>
        <v>293.48466619999999</v>
      </c>
      <c r="Q35" s="179">
        <f t="shared" si="3"/>
        <v>302.289206186</v>
      </c>
      <c r="R35" s="179">
        <f t="shared" si="3"/>
        <v>311.35788237157999</v>
      </c>
      <c r="S35" s="179">
        <f t="shared" si="3"/>
        <v>320.6986188427274</v>
      </c>
      <c r="T35" s="179">
        <f t="shared" si="3"/>
        <v>330.31957740800925</v>
      </c>
      <c r="U35" s="179">
        <f t="shared" si="3"/>
        <v>340.22916473024952</v>
      </c>
    </row>
    <row r="36" spans="2:22" ht="12.75" customHeight="1">
      <c r="B36" s="16">
        <v>8</v>
      </c>
      <c r="C36" s="172"/>
      <c r="D36" s="173" t="s">
        <v>155</v>
      </c>
      <c r="E36" s="170" t="s">
        <v>163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257.10000000000002</v>
      </c>
      <c r="L36" s="179">
        <f t="shared" si="3"/>
        <v>259.8</v>
      </c>
      <c r="M36" s="179">
        <f t="shared" si="3"/>
        <v>265.5</v>
      </c>
      <c r="N36" s="179">
        <f t="shared" si="3"/>
        <v>275.8</v>
      </c>
      <c r="O36" s="179">
        <f t="shared" si="3"/>
        <v>285.17720000000003</v>
      </c>
      <c r="P36" s="179">
        <f t="shared" si="3"/>
        <v>294.0176932</v>
      </c>
      <c r="Q36" s="179">
        <f t="shared" si="3"/>
        <v>302.83822399600001</v>
      </c>
      <c r="R36" s="179">
        <f t="shared" si="3"/>
        <v>311.92337071588003</v>
      </c>
      <c r="S36" s="179">
        <f t="shared" si="3"/>
        <v>321.28107183735642</v>
      </c>
      <c r="T36" s="179">
        <f t="shared" si="3"/>
        <v>330.91950399247713</v>
      </c>
      <c r="U36" s="179">
        <f t="shared" si="3"/>
        <v>340.84708911225147</v>
      </c>
    </row>
    <row r="37" spans="2:22" ht="12.75" customHeight="1">
      <c r="B37" s="16">
        <v>9</v>
      </c>
      <c r="C37" s="172"/>
      <c r="D37" s="173" t="s">
        <v>155</v>
      </c>
      <c r="E37" s="170" t="s">
        <v>164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257.5</v>
      </c>
      <c r="L37" s="179">
        <f t="shared" si="3"/>
        <v>260.60000000000002</v>
      </c>
      <c r="M37" s="179">
        <f t="shared" si="3"/>
        <v>267.10000000000002</v>
      </c>
      <c r="N37" s="179">
        <f t="shared" si="3"/>
        <v>278.10000000000002</v>
      </c>
      <c r="O37" s="179">
        <f t="shared" si="3"/>
        <v>287.55540000000002</v>
      </c>
      <c r="P37" s="179">
        <f t="shared" si="3"/>
        <v>296.4696174</v>
      </c>
      <c r="Q37" s="179">
        <f t="shared" si="3"/>
        <v>305.36370592200001</v>
      </c>
      <c r="R37" s="179">
        <f t="shared" si="3"/>
        <v>314.52461709966002</v>
      </c>
      <c r="S37" s="179">
        <f t="shared" si="3"/>
        <v>323.96035561264983</v>
      </c>
      <c r="T37" s="179">
        <f t="shared" si="3"/>
        <v>333.67916628102932</v>
      </c>
      <c r="U37" s="179">
        <f t="shared" si="3"/>
        <v>343.68954126946022</v>
      </c>
    </row>
    <row r="38" spans="2:22" ht="12.75" customHeight="1">
      <c r="B38" s="16">
        <v>10</v>
      </c>
      <c r="C38" s="172"/>
      <c r="D38" s="173" t="s">
        <v>155</v>
      </c>
      <c r="E38" s="170" t="s">
        <v>165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255.4</v>
      </c>
      <c r="L38" s="179">
        <f t="shared" si="3"/>
        <v>258.8</v>
      </c>
      <c r="M38" s="179">
        <f t="shared" si="3"/>
        <v>265.5</v>
      </c>
      <c r="N38" s="179">
        <f t="shared" si="3"/>
        <v>276</v>
      </c>
      <c r="O38" s="179">
        <f t="shared" si="3"/>
        <v>285.38400000000001</v>
      </c>
      <c r="P38" s="179">
        <f t="shared" si="3"/>
        <v>294.23090400000001</v>
      </c>
      <c r="Q38" s="179">
        <f t="shared" si="3"/>
        <v>303.05783112</v>
      </c>
      <c r="R38" s="179">
        <f t="shared" si="3"/>
        <v>312.14956605359998</v>
      </c>
      <c r="S38" s="179">
        <f t="shared" si="3"/>
        <v>321.51405303520801</v>
      </c>
      <c r="T38" s="179">
        <f t="shared" si="3"/>
        <v>331.15947462626428</v>
      </c>
      <c r="U38" s="179">
        <f t="shared" si="3"/>
        <v>341.09425886505221</v>
      </c>
    </row>
    <row r="39" spans="2:22" ht="12.75" customHeight="1">
      <c r="B39" s="16">
        <v>11</v>
      </c>
      <c r="C39" s="172"/>
      <c r="D39" s="173" t="s">
        <v>155</v>
      </c>
      <c r="E39" s="170" t="s">
        <v>166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256.7</v>
      </c>
      <c r="L39" s="179">
        <f t="shared" si="3"/>
        <v>260</v>
      </c>
      <c r="M39" s="179">
        <f t="shared" si="3"/>
        <v>268.39999999999998</v>
      </c>
      <c r="N39" s="179">
        <f t="shared" si="3"/>
        <v>278.10000000000002</v>
      </c>
      <c r="O39" s="179">
        <f t="shared" si="3"/>
        <v>287.55540000000002</v>
      </c>
      <c r="P39" s="179">
        <f t="shared" si="3"/>
        <v>296.4696174</v>
      </c>
      <c r="Q39" s="179">
        <f t="shared" si="3"/>
        <v>305.36370592200001</v>
      </c>
      <c r="R39" s="179">
        <f t="shared" si="3"/>
        <v>314.52461709966002</v>
      </c>
      <c r="S39" s="179">
        <f t="shared" si="3"/>
        <v>323.96035561264983</v>
      </c>
      <c r="T39" s="179">
        <f t="shared" si="3"/>
        <v>333.67916628102932</v>
      </c>
      <c r="U39" s="179">
        <f t="shared" si="3"/>
        <v>343.68954126946022</v>
      </c>
    </row>
    <row r="40" spans="2:22" ht="12.75" customHeight="1">
      <c r="B40" s="16">
        <v>12</v>
      </c>
      <c r="C40" s="172"/>
      <c r="D40" s="173" t="s">
        <v>155</v>
      </c>
      <c r="E40" s="170" t="s">
        <v>167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257.10000000000002</v>
      </c>
      <c r="L40" s="179">
        <f t="shared" si="3"/>
        <v>261.10000000000002</v>
      </c>
      <c r="M40" s="179">
        <f t="shared" si="3"/>
        <v>269.3</v>
      </c>
      <c r="N40" s="179">
        <f t="shared" si="3"/>
        <v>278.3</v>
      </c>
      <c r="O40" s="179">
        <f t="shared" si="3"/>
        <v>287.76220000000001</v>
      </c>
      <c r="P40" s="179">
        <f t="shared" si="3"/>
        <v>296.68282819999996</v>
      </c>
      <c r="Q40" s="179">
        <f t="shared" si="3"/>
        <v>305.58331304599994</v>
      </c>
      <c r="R40" s="179">
        <f t="shared" si="3"/>
        <v>314.75081243737998</v>
      </c>
      <c r="S40" s="179">
        <f t="shared" si="3"/>
        <v>324.19333681050136</v>
      </c>
      <c r="T40" s="179">
        <f t="shared" si="3"/>
        <v>333.91913691481642</v>
      </c>
      <c r="U40" s="179">
        <f t="shared" si="3"/>
        <v>343.93671102226091</v>
      </c>
    </row>
    <row r="41" spans="2:22" ht="12.75" customHeight="1">
      <c r="B41" s="172"/>
      <c r="C41" s="172"/>
      <c r="D41" s="173" t="s">
        <v>155</v>
      </c>
      <c r="E41" s="170" t="s">
        <v>168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256.66666666666669</v>
      </c>
      <c r="L41" s="182">
        <f t="shared" si="4"/>
        <v>259.43333333333334</v>
      </c>
      <c r="M41" s="182">
        <f t="shared" si="4"/>
        <v>264.99166666666673</v>
      </c>
      <c r="N41" s="182">
        <f t="shared" si="4"/>
        <v>274.90833333333336</v>
      </c>
      <c r="O41" s="182">
        <f t="shared" si="4"/>
        <v>284.25521666666674</v>
      </c>
      <c r="P41" s="182">
        <f t="shared" si="4"/>
        <v>293.06712838333334</v>
      </c>
      <c r="Q41" s="182">
        <f t="shared" si="4"/>
        <v>301.85914223483337</v>
      </c>
      <c r="R41" s="182">
        <f t="shared" si="4"/>
        <v>310.91491650187834</v>
      </c>
      <c r="S41" s="182">
        <f t="shared" si="4"/>
        <v>320.24236399693473</v>
      </c>
      <c r="T41" s="182">
        <f t="shared" si="4"/>
        <v>329.84963491684272</v>
      </c>
      <c r="U41" s="182">
        <f t="shared" si="4"/>
        <v>339.74512396434807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174</v>
      </c>
      <c r="F43" s="183"/>
      <c r="G43" s="183"/>
      <c r="V43" s="167"/>
    </row>
    <row r="44" spans="2:22" s="153" customFormat="1" ht="12.75" customHeight="1">
      <c r="B44" s="154"/>
      <c r="E44" s="184" t="s">
        <v>175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176</v>
      </c>
    </row>
    <row r="45" spans="2:22" s="153" customFormat="1" ht="12.75" customHeight="1">
      <c r="B45" s="154"/>
      <c r="C45" s="186"/>
      <c r="D45" s="175" t="s">
        <v>169</v>
      </c>
      <c r="E45" s="187" t="s">
        <v>177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1.077987421383648</v>
      </c>
      <c r="M45" s="254">
        <f t="shared" si="5"/>
        <v>1.0893081761006289</v>
      </c>
      <c r="N45" s="254">
        <f>IF(Indexation.November.Override&lt;&gt;"",Indexation.November.Override,IF($H$36=0,0,M36/$H$36))</f>
        <v>1.1132075471698113</v>
      </c>
      <c r="O45" s="254">
        <f t="shared" si="5"/>
        <v>1.1563941299790357</v>
      </c>
      <c r="P45" s="254">
        <f t="shared" si="5"/>
        <v>1.195711530398323</v>
      </c>
      <c r="Q45" s="254">
        <f t="shared" si="5"/>
        <v>1.2327785878406707</v>
      </c>
      <c r="R45" s="254">
        <f t="shared" si="5"/>
        <v>1.2697619454758911</v>
      </c>
      <c r="S45" s="254">
        <f t="shared" si="5"/>
        <v>1.3078548038401678</v>
      </c>
      <c r="T45" s="254">
        <f t="shared" si="5"/>
        <v>1.3470904479553729</v>
      </c>
      <c r="U45" s="254">
        <f t="shared" si="5"/>
        <v>1.3875031613940341</v>
      </c>
      <c r="V45" s="167" t="s">
        <v>178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179</v>
      </c>
      <c r="F47" s="189"/>
      <c r="G47" s="189"/>
    </row>
    <row r="48" spans="2:22" s="153" customFormat="1" ht="12.75" customHeight="1">
      <c r="B48" s="154"/>
      <c r="E48" s="184" t="s">
        <v>175</v>
      </c>
      <c r="F48" s="184"/>
      <c r="G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67" t="s">
        <v>180</v>
      </c>
    </row>
    <row r="49" spans="1:22" s="153" customFormat="1" ht="12.75" customHeight="1">
      <c r="B49" s="154"/>
      <c r="C49" s="186"/>
      <c r="D49" s="175" t="s">
        <v>169</v>
      </c>
      <c r="E49" s="187" t="s">
        <v>177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1.0490105922822794</v>
      </c>
      <c r="L49" s="254">
        <f t="shared" si="6"/>
        <v>1.0603181090562313</v>
      </c>
      <c r="M49" s="254">
        <f t="shared" si="6"/>
        <v>1.0830353189605262</v>
      </c>
      <c r="N49" s="254">
        <f>IF(Indexation.Average.Override&lt;&gt;"",Indexation.Average.Override,IF($I41=0,0,N41/$I41))</f>
        <v>1.1235652736623414</v>
      </c>
      <c r="O49" s="254">
        <f t="shared" si="6"/>
        <v>1.1617664929668612</v>
      </c>
      <c r="P49" s="254">
        <f t="shared" si="6"/>
        <v>1.1977812542488335</v>
      </c>
      <c r="Q49" s="254">
        <f t="shared" si="6"/>
        <v>1.2337146918762987</v>
      </c>
      <c r="R49" s="254">
        <f t="shared" si="6"/>
        <v>1.2707261326325876</v>
      </c>
      <c r="S49" s="254">
        <f t="shared" si="6"/>
        <v>1.3088479166115654</v>
      </c>
      <c r="T49" s="254">
        <f t="shared" si="6"/>
        <v>1.3481133541099122</v>
      </c>
      <c r="U49" s="254">
        <f t="shared" si="6"/>
        <v>1.3885567547332098</v>
      </c>
      <c r="V49" s="167" t="s">
        <v>181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169</v>
      </c>
      <c r="E51" s="191" t="s">
        <v>182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1.9597457627118731E-2</v>
      </c>
      <c r="L51" s="188">
        <f>IF(K49=0,0,(L49/K49)-1)</f>
        <v>1.0779220779220777E-2</v>
      </c>
      <c r="M51" s="188">
        <f>IF(L49=0,0,(M49/L49)-1)</f>
        <v>2.1424900424001248E-2</v>
      </c>
      <c r="N51" s="188">
        <f t="shared" si="7"/>
        <v>3.7422560457875953E-2</v>
      </c>
      <c r="O51" s="188">
        <f t="shared" si="7"/>
        <v>3.4000000000000252E-2</v>
      </c>
      <c r="P51" s="188">
        <f t="shared" si="7"/>
        <v>3.0999999999999694E-2</v>
      </c>
      <c r="Q51" s="188">
        <f t="shared" si="7"/>
        <v>3.0000000000000027E-2</v>
      </c>
      <c r="R51" s="188">
        <f t="shared" si="7"/>
        <v>3.0000000000000027E-2</v>
      </c>
      <c r="S51" s="188">
        <f t="shared" si="7"/>
        <v>3.0000000000000249E-2</v>
      </c>
      <c r="T51" s="188">
        <f t="shared" si="7"/>
        <v>2.9999999999999805E-2</v>
      </c>
      <c r="U51" s="188">
        <f t="shared" si="7"/>
        <v>3.0000000000000249E-2</v>
      </c>
      <c r="V51" s="167" t="s">
        <v>183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133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133"/>
      <c r="B1" s="133"/>
      <c r="C1" s="133"/>
      <c r="D1" s="1" t="s">
        <v>190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134" t="s">
        <v>134</v>
      </c>
      <c r="J3" s="134" t="s">
        <v>135</v>
      </c>
      <c r="K3" s="134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  <c r="P3" s="10" t="s">
        <v>141</v>
      </c>
      <c r="Q3" s="134" t="s">
        <v>142</v>
      </c>
      <c r="R3" s="134" t="s">
        <v>143</v>
      </c>
      <c r="S3" s="134" t="s">
        <v>144</v>
      </c>
      <c r="T3" s="134" t="s">
        <v>145</v>
      </c>
      <c r="U3" s="134" t="s">
        <v>146</v>
      </c>
      <c r="V3" s="135" t="s">
        <v>147</v>
      </c>
    </row>
    <row r="4" spans="1:22" ht="12.75">
      <c r="V4" s="135"/>
    </row>
    <row r="5" spans="1:22" ht="12.75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148</v>
      </c>
    </row>
    <row r="6" spans="1:22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2.75"/>
    <row r="8" spans="1:22" ht="13.5" thickBot="1"/>
    <row r="9" spans="1:22" ht="13.5" thickBot="1">
      <c r="A9" s="143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2.75"/>
    <row r="11" spans="1:22" ht="12.75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93</vt:i4>
      </vt:variant>
    </vt:vector>
  </HeadingPairs>
  <TitlesOfParts>
    <vt:vector size="98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AWS User</cp:lastModifiedBy>
  <dcterms:created xsi:type="dcterms:W3CDTF">2015-03-03T21:58:54Z</dcterms:created>
  <dcterms:modified xsi:type="dcterms:W3CDTF">2019-08-19T20:29:59Z</dcterms:modified>
</cp:coreProperties>
</file>