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780" windowWidth="21840" windowHeight="9330" activeTab="1"/>
  </bookViews>
  <sheets>
    <sheet name="Inputs" sheetId="6" r:id="rId1"/>
    <sheet name="Calcs" sheetId="5" r:id="rId2"/>
    <sheet name="Lists" sheetId="3" r:id="rId3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45621" calcOnSave="0"/>
</workbook>
</file>

<file path=xl/calcChain.xml><?xml version="1.0" encoding="utf-8"?>
<calcChain xmlns="http://schemas.openxmlformats.org/spreadsheetml/2006/main"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N34" i="5" s="1"/>
  <c r="M16" i="5"/>
  <c r="L16" i="5"/>
  <c r="P15" i="5"/>
  <c r="O15" i="5"/>
  <c r="N15" i="5"/>
  <c r="M15" i="5"/>
  <c r="L15" i="5"/>
  <c r="P14" i="5"/>
  <c r="P32" i="5" s="1"/>
  <c r="O14" i="5"/>
  <c r="N14" i="5"/>
  <c r="M14" i="5"/>
  <c r="L14" i="5"/>
  <c r="P13" i="5"/>
  <c r="O13" i="5"/>
  <c r="N13" i="5"/>
  <c r="M13" i="5"/>
  <c r="M31" i="5" s="1"/>
  <c r="L13" i="5"/>
  <c r="P12" i="5"/>
  <c r="O12" i="5"/>
  <c r="N12" i="5"/>
  <c r="N30" i="5" s="1"/>
  <c r="M12" i="5"/>
  <c r="L12" i="5"/>
  <c r="P11" i="5"/>
  <c r="O11" i="5"/>
  <c r="O29" i="5" s="1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32" i="5" l="1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M72" i="5" s="1"/>
  <c r="O63" i="5"/>
  <c r="O74" i="5" s="1"/>
  <c r="L62" i="5"/>
  <c r="L73" i="5" s="1"/>
  <c r="N60" i="5"/>
  <c r="N71" i="5" s="1"/>
  <c r="M58" i="5"/>
  <c r="M69" i="5" s="1"/>
  <c r="N62" i="5"/>
  <c r="N73" i="5" s="1"/>
  <c r="P60" i="5"/>
  <c r="P71" i="5" s="1"/>
  <c r="M59" i="5"/>
  <c r="M70" i="5" s="1"/>
  <c r="N63" i="5"/>
  <c r="N74" i="5" s="1"/>
  <c r="P61" i="5"/>
  <c r="P72" i="5" s="1"/>
  <c r="M60" i="5"/>
  <c r="M71" i="5" s="1"/>
  <c r="P58" i="5"/>
  <c r="N61" i="5"/>
  <c r="N72" i="5" s="1"/>
  <c r="P62" i="5"/>
  <c r="P73" i="5" s="1"/>
  <c r="L63" i="5"/>
  <c r="L74" i="5" s="1"/>
  <c r="P59" i="5"/>
  <c r="P70" i="5" s="1"/>
  <c r="O58" i="5"/>
  <c r="O69" i="5" s="1"/>
  <c r="O59" i="5"/>
  <c r="O70" i="5" s="1"/>
  <c r="M63" i="5"/>
  <c r="M74" i="5" s="1"/>
  <c r="O61" i="5"/>
  <c r="O72" i="5" s="1"/>
  <c r="L60" i="5"/>
  <c r="L71" i="5" s="1"/>
  <c r="N58" i="5"/>
  <c r="N69" i="5" s="1"/>
  <c r="O62" i="5"/>
  <c r="O73" i="5" s="1"/>
  <c r="L61" i="5"/>
  <c r="L72" i="5" s="1"/>
  <c r="N59" i="5"/>
  <c r="N70" i="5" s="1"/>
  <c r="P63" i="5"/>
  <c r="P74" i="5" s="1"/>
  <c r="M62" i="5"/>
  <c r="M73" i="5" s="1"/>
  <c r="O60" i="5"/>
  <c r="O71" i="5" s="1"/>
  <c r="L59" i="5"/>
  <c r="L70" i="5" s="1"/>
  <c r="L58" i="5"/>
  <c r="L69" i="5" s="1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W46" i="5" l="1"/>
  <c r="P69" i="5"/>
  <c r="P75" i="5" s="1"/>
  <c r="P90" i="5" s="1"/>
  <c r="P64" i="5"/>
  <c r="P80" i="5" s="1"/>
  <c r="N75" i="5"/>
  <c r="L75" i="5"/>
  <c r="L86" i="5" s="1"/>
  <c r="M75" i="5"/>
  <c r="O75" i="5"/>
  <c r="O89" i="5" s="1"/>
  <c r="P89" i="5" s="1"/>
  <c r="O64" i="5"/>
  <c r="O80" i="5" s="1"/>
  <c r="N64" i="5"/>
  <c r="N80" i="5" s="1"/>
  <c r="L64" i="5"/>
  <c r="L80" i="5" s="1"/>
  <c r="M64" i="5"/>
  <c r="M80" i="5" s="1"/>
  <c r="N88" i="5" l="1"/>
  <c r="O88" i="5" s="1"/>
  <c r="P88" i="5" s="1"/>
  <c r="M87" i="5"/>
  <c r="N87" i="5" s="1"/>
  <c r="O87" i="5" s="1"/>
  <c r="P87" i="5" s="1"/>
  <c r="M86" i="5"/>
  <c r="N86" i="5" s="1"/>
  <c r="O86" i="5" s="1"/>
  <c r="P86" i="5" s="1"/>
  <c r="W80" i="5"/>
  <c r="W81" i="5" s="1"/>
  <c r="P77" i="5"/>
  <c r="P66" i="5"/>
  <c r="P92" i="5" l="1"/>
  <c r="W82" i="5"/>
  <c r="P94" i="5" l="1"/>
</calcChain>
</file>

<file path=xl/sharedStrings.xml><?xml version="1.0" encoding="utf-8"?>
<sst xmlns="http://schemas.openxmlformats.org/spreadsheetml/2006/main" count="254" uniqueCount="85">
  <si>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</si>
  <si>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</si>
  <si>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</si>
  <si>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</si>
  <si>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</si>
  <si>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</si>
  <si>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</si>
  <si>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</si>
  <si>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</si>
  <si>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</si>
  <si>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</si>
  <si>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</si>
  <si>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</si>
  <si>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</si>
  <si>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</si>
  <si>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</si>
  <si>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</si>
  <si>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</si>
  <si>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</si>
  <si>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</si>
  <si>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</si>
  <si>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</si>
  <si>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</si>
  <si>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</si>
  <si>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</si>
  <si>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</si>
  <si>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</si>
  <si>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</si>
  <si>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</si>
  <si>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</si>
  <si>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</si>
  <si>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</si>
  <si>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</si>
  <si>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</si>
  <si>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</si>
  <si>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</si>
  <si>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</si>
  <si>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</si>
  <si>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Meterered water and wastewater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</si>
  <si>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</si>
  <si>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</si>
  <si>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</si>
  <si>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</si>
  <si>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</si>
  <si>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</si>
  <si>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</si>
  <si>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</si>
  <si>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</si>
  <si>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</si>
  <si>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</si>
  <si>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</si>
  <si>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</si>
  <si>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</si>
  <si>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</si>
  <si>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</si>
  <si>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</si>
  <si>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</si>
  <si>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</si>
  <si>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</si>
  <si>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</si>
  <si>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</si>
  <si>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</si>
  <si>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</si>
  <si>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</si>
  <si>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</si>
  <si>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</si>
  <si>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</si>
  <si>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</si>
  <si>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</si>
  <si>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</si>
  <si>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</si>
  <si>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</si>
  <si>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Total Net Adjument incl. financing adjustment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</si>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</sst>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_);\(#,##0.0\);\-_)"/>
  </numFmts>
  <fonts count="65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00CC"/>
      <name val="Arial"/>
      <family val="2"/>
    </font>
    <font>
      <sz val="10"/>
      <color rgb="FF0000CC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1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4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0" borderId="0">
      <alignment vertical="top"/>
    </xf>
    <xf numFmtId="0" fontId="19" fillId="0" borderId="0" applyNumberFormat="0" applyFont="0" applyFill="0" applyBorder="0" applyAlignment="0" applyProtection="0"/>
    <xf numFmtId="37" fontId="46" fillId="50" borderId="25">
      <alignment horizontal="left"/>
    </xf>
    <xf numFmtId="37" fontId="43" fillId="50" borderId="26"/>
    <xf numFmtId="0" fontId="19" fillId="50" borderId="27" applyNumberFormat="0" applyBorder="0"/>
    <xf numFmtId="0" fontId="19" fillId="0" borderId="0" applyFont="0" applyFill="0" applyBorder="0" applyAlignment="0" applyProtection="0"/>
    <xf numFmtId="0" fontId="46" fillId="51" borderId="0"/>
    <xf numFmtId="0" fontId="19" fillId="52" borderId="20"/>
    <xf numFmtId="0" fontId="19" fillId="52" borderId="20"/>
    <xf numFmtId="0" fontId="46" fillId="52" borderId="0"/>
    <xf numFmtId="0" fontId="19" fillId="53" borderId="0"/>
    <xf numFmtId="0" fontId="19" fillId="53" borderId="0"/>
    <xf numFmtId="0" fontId="19" fillId="53" borderId="0"/>
    <xf numFmtId="0" fontId="58" fillId="50" borderId="28"/>
    <xf numFmtId="37" fontId="19" fillId="50" borderId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3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8" fillId="0" borderId="0"/>
    <xf numFmtId="9" fontId="19" fillId="0" borderId="0" applyFont="0" applyFill="0" applyBorder="0" applyAlignment="0" applyProtection="0"/>
    <xf numFmtId="37" fontId="61" fillId="54" borderId="29"/>
    <xf numFmtId="0" fontId="62" fillId="0" borderId="30">
      <alignment horizontal="right"/>
    </xf>
  </cellStyleXfs>
  <cellXfs count="90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" fontId="43" fillId="0" borderId="17" xfId="0" applyNumberFormat="1" applyFont="1" applyFill="1" applyBorder="1" applyAlignment="1" applyProtection="1">
      <alignment horizontal="center"/>
    </xf>
    <xf numFmtId="1" fontId="44" fillId="43" borderId="17" xfId="0" applyNumberFormat="1" applyFont="1" applyFill="1" applyBorder="1" applyAlignment="1" applyProtection="1">
      <alignment horizontal="center"/>
    </xf>
    <xf numFmtId="0" fontId="45" fillId="0" borderId="0" xfId="0" applyFont="1"/>
    <xf numFmtId="0" fontId="46" fillId="0" borderId="0" xfId="0" applyFont="1" applyFill="1" applyAlignment="1">
      <alignment vertical="center"/>
    </xf>
    <xf numFmtId="164" fontId="19" fillId="46" borderId="20" xfId="0" applyNumberFormat="1" applyFont="1" applyFill="1" applyBorder="1" applyAlignment="1">
      <alignment horizontal="right" vertical="center"/>
    </xf>
    <xf numFmtId="49" fontId="47" fillId="45" borderId="18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49" fontId="47" fillId="45" borderId="17" xfId="0" applyNumberFormat="1" applyFont="1" applyFill="1" applyBorder="1" applyAlignment="1">
      <alignment horizontal="right" vertical="center"/>
    </xf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49" fillId="0" borderId="0" xfId="0" applyFont="1"/>
    <xf numFmtId="0" fontId="38" fillId="0" borderId="0" xfId="0" applyFont="1" applyAlignment="1">
      <alignment wrapText="1"/>
    </xf>
    <xf numFmtId="0" fontId="38" fillId="0" borderId="0" xfId="0" applyFont="1"/>
    <xf numFmtId="0" fontId="50" fillId="0" borderId="0" xfId="0" applyFont="1"/>
    <xf numFmtId="0" fontId="45" fillId="47" borderId="21" xfId="0" applyFont="1" applyFill="1" applyBorder="1"/>
    <xf numFmtId="0" fontId="45" fillId="47" borderId="22" xfId="0" applyFont="1" applyFill="1" applyBorder="1"/>
    <xf numFmtId="166" fontId="38" fillId="0" borderId="0" xfId="0" applyNumberFormat="1" applyFont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1" fillId="0" borderId="0" xfId="0" applyFont="1"/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/>
    <xf numFmtId="0" fontId="52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64" fontId="19" fillId="49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0" fillId="0" borderId="0" xfId="0" applyFont="1"/>
    <xf numFmtId="166" fontId="6" fillId="0" borderId="0" xfId="0" applyNumberFormat="1" applyFont="1" applyBorder="1"/>
    <xf numFmtId="164" fontId="0" fillId="0" borderId="0" xfId="0" applyNumberFormat="1"/>
    <xf numFmtId="164" fontId="38" fillId="0" borderId="0" xfId="0" applyNumberFormat="1" applyFont="1"/>
    <xf numFmtId="164" fontId="47" fillId="45" borderId="19" xfId="0" applyNumberFormat="1" applyFont="1" applyFill="1" applyBorder="1" applyAlignment="1">
      <alignment horizontal="left" vertical="center"/>
    </xf>
    <xf numFmtId="164" fontId="38" fillId="0" borderId="0" xfId="0" applyNumberFormat="1" applyFont="1" applyFill="1"/>
    <xf numFmtId="164" fontId="6" fillId="0" borderId="0" xfId="0" applyNumberFormat="1" applyFont="1" applyBorder="1"/>
    <xf numFmtId="164" fontId="38" fillId="0" borderId="0" xfId="46" applyNumberFormat="1" applyFont="1" applyFill="1" applyBorder="1"/>
    <xf numFmtId="0" fontId="4" fillId="33" borderId="14" xfId="46" applyNumberFormat="1" applyFont="1"/>
    <xf numFmtId="0" fontId="0" fillId="0" borderId="0" xfId="0" applyAlignment="1">
      <alignment horizontal="left" indent="1"/>
    </xf>
    <xf numFmtId="164" fontId="38" fillId="0" borderId="23" xfId="0" applyNumberFormat="1" applyFont="1" applyFill="1" applyBorder="1"/>
    <xf numFmtId="0" fontId="0" fillId="48" borderId="22" xfId="0" applyFill="1" applyBorder="1"/>
    <xf numFmtId="0" fontId="40" fillId="48" borderId="22" xfId="0" applyFont="1" applyFill="1" applyBorder="1"/>
    <xf numFmtId="0" fontId="3" fillId="0" borderId="0" xfId="0" applyFont="1" applyAlignment="1">
      <alignment horizontal="center"/>
    </xf>
    <xf numFmtId="164" fontId="38" fillId="0" borderId="0" xfId="0" applyNumberFormat="1" applyFont="1" applyBorder="1"/>
    <xf numFmtId="164" fontId="38" fillId="0" borderId="0" xfId="0" applyNumberFormat="1" applyFont="1" applyFill="1" applyBorder="1"/>
    <xf numFmtId="164" fontId="38" fillId="0" borderId="24" xfId="0" applyNumberFormat="1" applyFont="1" applyFill="1" applyBorder="1"/>
    <xf numFmtId="164" fontId="45" fillId="0" borderId="14" xfId="0" applyNumberFormat="1" applyFont="1" applyBorder="1"/>
    <xf numFmtId="0" fontId="2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4" fillId="44" borderId="19" xfId="72" applyFont="1" applyFill="1" applyBorder="1" applyAlignment="1">
      <alignment horizontal="left" vertical="center"/>
    </xf>
    <xf numFmtId="0" fontId="55" fillId="0" borderId="0" xfId="0" applyFont="1"/>
    <xf numFmtId="0" fontId="56" fillId="45" borderId="19" xfId="0" applyFont="1" applyFill="1" applyBorder="1" applyAlignment="1">
      <alignment horizontal="left" vertical="center"/>
    </xf>
    <xf numFmtId="0" fontId="50" fillId="0" borderId="0" xfId="78" applyFont="1" applyFill="1" applyBorder="1" applyAlignment="1" applyProtection="1">
      <alignment vertical="center"/>
      <protection locked="0"/>
    </xf>
    <xf numFmtId="0" fontId="55" fillId="48" borderId="22" xfId="0" applyFont="1" applyFill="1" applyBorder="1"/>
    <xf numFmtId="0" fontId="57" fillId="47" borderId="22" xfId="0" applyFont="1" applyFill="1" applyBorder="1"/>
    <xf numFmtId="0" fontId="50" fillId="0" borderId="0" xfId="0" applyNumberFormat="1" applyFont="1"/>
    <xf numFmtId="164" fontId="45" fillId="0" borderId="0" xfId="0" applyNumberFormat="1" applyFont="1" applyBorder="1"/>
    <xf numFmtId="0" fontId="2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2" fillId="0" borderId="0" xfId="0" applyFont="1"/>
    <xf numFmtId="0" fontId="19" fillId="0" borderId="0" xfId="0" applyFont="1" applyFill="1" applyBorder="1" applyAlignment="1">
      <alignment horizontal="center" shrinkToFit="1"/>
    </xf>
    <xf numFmtId="0" fontId="2" fillId="0" borderId="0" xfId="0" applyFont="1" applyFill="1"/>
    <xf numFmtId="0" fontId="2" fillId="0" borderId="20" xfId="0" applyFont="1" applyFill="1" applyBorder="1"/>
    <xf numFmtId="166" fontId="2" fillId="0" borderId="0" xfId="0" applyNumberFormat="1" applyFont="1" applyFill="1"/>
    <xf numFmtId="164" fontId="19" fillId="46" borderId="20" xfId="0" quotePrefix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indent="1"/>
    </xf>
    <xf numFmtId="164" fontId="2" fillId="0" borderId="0" xfId="0" applyNumberFormat="1" applyFont="1" applyFill="1"/>
    <xf numFmtId="167" fontId="38" fillId="0" borderId="0" xfId="83" applyNumberFormat="1" applyFont="1" applyFill="1"/>
    <xf numFmtId="0" fontId="0" fillId="56" borderId="0" xfId="0" applyFill="1"/>
    <xf numFmtId="164" fontId="45" fillId="0" borderId="14" xfId="0" applyNumberFormat="1" applyFont="1" applyFill="1" applyBorder="1"/>
    <xf numFmtId="164" fontId="6" fillId="0" borderId="0" xfId="0" applyNumberFormat="1" applyFont="1" applyFill="1" applyBorder="1"/>
    <xf numFmtId="164" fontId="45" fillId="0" borderId="0" xfId="0" applyNumberFormat="1" applyFont="1" applyFill="1" applyBorder="1"/>
    <xf numFmtId="0" fontId="38" fillId="0" borderId="0" xfId="0" applyFont="1" applyFill="1"/>
    <xf numFmtId="0" fontId="2" fillId="0" borderId="0" xfId="0" applyFont="1" applyFill="1" applyAlignment="1">
      <alignment horizontal="center"/>
    </xf>
    <xf numFmtId="164" fontId="38" fillId="0" borderId="14" xfId="46" applyNumberFormat="1" applyFont="1" applyFill="1"/>
    <xf numFmtId="0" fontId="38" fillId="52" borderId="0" xfId="0" applyFont="1" applyFill="1"/>
    <xf numFmtId="164" fontId="63" fillId="55" borderId="14" xfId="46" applyNumberFormat="1" applyFont="1" applyFill="1"/>
    <xf numFmtId="164" fontId="63" fillId="33" borderId="14" xfId="46" applyNumberFormat="1" applyFont="1"/>
    <xf numFmtId="168" fontId="63" fillId="55" borderId="14" xfId="46" applyNumberFormat="1" applyFont="1" applyFill="1"/>
    <xf numFmtId="168" fontId="63" fillId="33" borderId="14" xfId="46" applyNumberFormat="1" applyFont="1"/>
    <xf numFmtId="165" fontId="64" fillId="55" borderId="14" xfId="46" applyNumberFormat="1" applyFont="1" applyFill="1"/>
    <xf numFmtId="165" fontId="64" fillId="33" borderId="14" xfId="46" applyNumberFormat="1" applyFont="1"/>
    <xf numFmtId="10" fontId="64" fillId="33" borderId="14" xfId="83" applyNumberFormat="1" applyFont="1" applyFill="1" applyBorder="1"/>
  </cellXfs>
  <cellStyles count="112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 2" xfId="75"/>
    <cellStyle name="Comma 3" xfId="76"/>
    <cellStyle name="Comma 3 2" xfId="90"/>
    <cellStyle name="Comma 5" xfId="77"/>
    <cellStyle name="Error" xfId="61"/>
    <cellStyle name="Explanatory Text" xfId="14" builtinId="53" customBuiltin="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4" xfId="97"/>
    <cellStyle name="Good" xfId="5" builtinId="26" customBuiltin="1"/>
    <cellStyle name="Header" xfId="98"/>
    <cellStyle name="Header3rdlevel" xfId="99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JS" xfId="101"/>
    <cellStyle name="No Error" xfId="64"/>
    <cellStyle name="Normal" xfId="0" builtinId="0" customBuiltin="1"/>
    <cellStyle name="Normal 2" xfId="65"/>
    <cellStyle name="Normal 2 2" xfId="66"/>
    <cellStyle name="Normal 2 3" xfId="102"/>
    <cellStyle name="Normal 3" xfId="67"/>
    <cellStyle name="Normal 3 2" xfId="103"/>
    <cellStyle name="Normal 4" xfId="72"/>
    <cellStyle name="Normal 4 2" xfId="78"/>
    <cellStyle name="Normal 4 2 2" xfId="104"/>
    <cellStyle name="Normal 5" xfId="79"/>
    <cellStyle name="Normal 5 2" xfId="105"/>
    <cellStyle name="Normal 6" xfId="80"/>
    <cellStyle name="Normal 7" xfId="106"/>
    <cellStyle name="Normal 8" xfId="107"/>
    <cellStyle name="Normal 9" xfId="108"/>
    <cellStyle name="Note 2" xfId="68"/>
    <cellStyle name="Output" xfId="9" builtinId="21" customBuiltin="1"/>
    <cellStyle name="Percent" xfId="83" builtinId="5"/>
    <cellStyle name="Percent 2" xfId="73"/>
    <cellStyle name="Percent 2 2" xfId="109"/>
    <cellStyle name="Percent 3" xfId="81"/>
    <cellStyle name="Percent 4 2" xfId="82"/>
    <cellStyle name="Style 1" xfId="69"/>
    <cellStyle name="Total" xfId="15" builtinId="25" customBuiltin="1"/>
    <cellStyle name="True" xfId="70"/>
    <cellStyle name="True 2" xfId="84"/>
    <cellStyle name="Unique Formula" xfId="71"/>
    <cellStyle name="Warning Text" xfId="13" builtinId="11" customBuiltin="1"/>
    <cellStyle name="white_text_on_blue" xfId="110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7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57" bestFit="1" customWidth="1"/>
    <col min="7" max="8" width="2.7109375" customWidth="1"/>
    <col min="9" max="11" width="10" bestFit="1" customWidth="1"/>
    <col min="12" max="16" width="11.85546875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44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75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49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83">
        <v>98325</v>
      </c>
      <c r="M12" s="83">
        <v>90907</v>
      </c>
      <c r="N12" s="83">
        <v>83548</v>
      </c>
      <c r="O12" s="83">
        <v>76351</v>
      </c>
      <c r="P12" s="83">
        <v>69707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49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84">
        <v>269917</v>
      </c>
      <c r="M13" s="84">
        <v>258678</v>
      </c>
      <c r="N13" s="84">
        <v>247462</v>
      </c>
      <c r="O13" s="84">
        <v>236307</v>
      </c>
      <c r="P13" s="84">
        <v>225248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49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84">
        <v>296858</v>
      </c>
      <c r="M14" s="84">
        <v>264877</v>
      </c>
      <c r="N14" s="84">
        <v>233910</v>
      </c>
      <c r="O14" s="84">
        <v>203891</v>
      </c>
      <c r="P14" s="84">
        <v>176891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49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84">
        <v>138574</v>
      </c>
      <c r="M15" s="84">
        <v>147656</v>
      </c>
      <c r="N15" s="84">
        <v>156788</v>
      </c>
      <c r="O15" s="84">
        <v>165821</v>
      </c>
      <c r="P15" s="84">
        <v>174389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49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84">
        <v>537956</v>
      </c>
      <c r="M16" s="84">
        <v>553151</v>
      </c>
      <c r="N16" s="84">
        <v>568717</v>
      </c>
      <c r="O16" s="84">
        <v>585125</v>
      </c>
      <c r="P16" s="84">
        <v>602602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49</v>
      </c>
      <c r="E17" s="45" t="str">
        <f t="shared" si="2"/>
        <v>Meterered water and wastewater customer</v>
      </c>
      <c r="F17" s="19"/>
      <c r="G17" s="18"/>
      <c r="H17" s="18"/>
      <c r="I17" s="18"/>
      <c r="J17" s="18"/>
      <c r="K17" s="22"/>
      <c r="L17" s="84">
        <v>1417488</v>
      </c>
      <c r="M17" s="84">
        <v>1464835</v>
      </c>
      <c r="N17" s="84">
        <v>1512202</v>
      </c>
      <c r="O17" s="84">
        <v>1559649</v>
      </c>
      <c r="P17" s="84">
        <v>1604996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76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40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49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83">
        <v>96489</v>
      </c>
      <c r="M20" s="83">
        <v>97006</v>
      </c>
      <c r="N20" s="83">
        <v>87132</v>
      </c>
      <c r="O20" s="83">
        <v>90983</v>
      </c>
      <c r="P20" s="83">
        <v>86118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49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84">
        <v>259632.99999999997</v>
      </c>
      <c r="M21" s="84">
        <v>251367</v>
      </c>
      <c r="N21" s="84">
        <v>239608</v>
      </c>
      <c r="O21" s="84">
        <v>239996</v>
      </c>
      <c r="P21" s="84">
        <v>231731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49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84">
        <v>308035</v>
      </c>
      <c r="M22" s="84">
        <v>292154</v>
      </c>
      <c r="N22" s="84">
        <v>262415</v>
      </c>
      <c r="O22" s="84">
        <v>264401</v>
      </c>
      <c r="P22" s="84">
        <v>240005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49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84">
        <v>129693.99999999999</v>
      </c>
      <c r="M23" s="84">
        <v>117490</v>
      </c>
      <c r="N23" s="84">
        <v>121704</v>
      </c>
      <c r="O23" s="84">
        <v>138699</v>
      </c>
      <c r="P23" s="84">
        <v>144132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49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84">
        <v>537148</v>
      </c>
      <c r="M24" s="84">
        <v>539618</v>
      </c>
      <c r="N24" s="84">
        <v>550164</v>
      </c>
      <c r="O24" s="84">
        <v>570756</v>
      </c>
      <c r="P24" s="84">
        <v>587239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49</v>
      </c>
      <c r="E25" s="45" t="str">
        <f t="shared" si="3"/>
        <v>Meterered water and wastewater customer</v>
      </c>
      <c r="F25" s="19"/>
      <c r="G25" s="18"/>
      <c r="H25" s="18"/>
      <c r="I25" s="18"/>
      <c r="J25" s="18"/>
      <c r="K25" s="22"/>
      <c r="L25" s="84">
        <v>1413848</v>
      </c>
      <c r="M25" s="84">
        <v>1430897</v>
      </c>
      <c r="N25" s="84">
        <v>1482223</v>
      </c>
      <c r="O25" s="84">
        <v>1492191</v>
      </c>
      <c r="P25" s="84">
        <v>1545471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41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49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83">
        <v>104925</v>
      </c>
      <c r="M28" s="83">
        <v>101201</v>
      </c>
      <c r="N28" s="83">
        <v>97480</v>
      </c>
      <c r="O28" s="83">
        <v>94641</v>
      </c>
      <c r="P28" s="83">
        <v>91485.000000000015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49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84">
        <v>271990</v>
      </c>
      <c r="M29" s="84">
        <v>262923</v>
      </c>
      <c r="N29" s="84">
        <v>256468.00000000003</v>
      </c>
      <c r="O29" s="84">
        <v>245483</v>
      </c>
      <c r="P29" s="84">
        <v>236060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49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84">
        <v>315148</v>
      </c>
      <c r="M30" s="84">
        <v>294636</v>
      </c>
      <c r="N30" s="84">
        <v>271669</v>
      </c>
      <c r="O30" s="84">
        <v>254362</v>
      </c>
      <c r="P30" s="84">
        <v>236029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49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84">
        <v>127668</v>
      </c>
      <c r="M31" s="84">
        <v>131465</v>
      </c>
      <c r="N31" s="84">
        <v>135664</v>
      </c>
      <c r="O31" s="84">
        <v>141351</v>
      </c>
      <c r="P31" s="84">
        <v>143708.00000000009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49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84">
        <v>529574</v>
      </c>
      <c r="M32" s="84">
        <v>545322</v>
      </c>
      <c r="N32" s="84">
        <v>557379</v>
      </c>
      <c r="O32" s="84">
        <v>569715</v>
      </c>
      <c r="P32" s="84">
        <v>585262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49</v>
      </c>
      <c r="E33" s="45" t="str">
        <f t="shared" si="4"/>
        <v>Meterered water and wastewater customer</v>
      </c>
      <c r="F33" s="19"/>
      <c r="G33" s="18"/>
      <c r="H33" s="18"/>
      <c r="I33" s="18"/>
      <c r="J33" s="18"/>
      <c r="K33" s="18"/>
      <c r="L33" s="84">
        <v>1381379</v>
      </c>
      <c r="M33" s="84">
        <v>1422745</v>
      </c>
      <c r="N33" s="84">
        <v>1454665</v>
      </c>
      <c r="O33" s="84">
        <v>1499124</v>
      </c>
      <c r="P33" s="84">
        <v>1540923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2"/>
      <c r="D35" s="18"/>
      <c r="E35" s="36" t="s">
        <v>39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2"/>
      <c r="D36" s="54" t="s">
        <v>50</v>
      </c>
      <c r="E36" s="45" t="str">
        <f t="shared" ref="E36:E41" si="5">INDEX(Customer.List,A36)</f>
        <v>Unmetered water-only customer</v>
      </c>
      <c r="F36" s="59" t="s">
        <v>45</v>
      </c>
      <c r="G36" s="18"/>
      <c r="H36" s="18"/>
      <c r="I36" s="18"/>
      <c r="J36" s="18"/>
      <c r="K36" s="18"/>
      <c r="L36" s="85">
        <v>1.731259260040767</v>
      </c>
      <c r="M36" s="85">
        <v>1.6930906028644654</v>
      </c>
      <c r="N36" s="85">
        <v>1.923</v>
      </c>
      <c r="O36" s="85">
        <v>1.9139999999999999</v>
      </c>
      <c r="P36" s="85">
        <v>1.9100238300000003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2"/>
      <c r="D37" s="54" t="s">
        <v>50</v>
      </c>
      <c r="E37" s="45" t="str">
        <f t="shared" si="5"/>
        <v>Unmetered wastewater-only customer</v>
      </c>
      <c r="F37" s="59" t="s">
        <v>45</v>
      </c>
      <c r="G37" s="18"/>
      <c r="H37" s="18"/>
      <c r="I37" s="18"/>
      <c r="J37" s="18"/>
      <c r="K37" s="18"/>
      <c r="L37" s="86">
        <v>4.4878317600407671</v>
      </c>
      <c r="M37" s="86">
        <v>4.4539134661640176</v>
      </c>
      <c r="N37" s="86">
        <v>5.0730000000000004</v>
      </c>
      <c r="O37" s="86">
        <v>4.9710000000000001</v>
      </c>
      <c r="P37" s="86">
        <v>5.1255707800000003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2"/>
      <c r="D38" s="54" t="s">
        <v>50</v>
      </c>
      <c r="E38" s="45" t="str">
        <f t="shared" si="5"/>
        <v>Unmetered water and wastewater customer</v>
      </c>
      <c r="F38" s="59" t="s">
        <v>45</v>
      </c>
      <c r="G38" s="18"/>
      <c r="H38" s="18"/>
      <c r="I38" s="18"/>
      <c r="J38" s="18"/>
      <c r="K38" s="18"/>
      <c r="L38" s="86">
        <v>10.399890479918465</v>
      </c>
      <c r="M38" s="86">
        <v>9.9203984009715143</v>
      </c>
      <c r="N38" s="86">
        <v>10.734</v>
      </c>
      <c r="O38" s="86">
        <v>10.294</v>
      </c>
      <c r="P38" s="86">
        <v>10.052947167999999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2"/>
      <c r="D39" s="54" t="s">
        <v>50</v>
      </c>
      <c r="E39" s="45" t="str">
        <f t="shared" si="5"/>
        <v>Metered water-only customer</v>
      </c>
      <c r="F39" s="59" t="s">
        <v>45</v>
      </c>
      <c r="G39" s="18"/>
      <c r="H39" s="18"/>
      <c r="I39" s="18"/>
      <c r="K39" s="18"/>
      <c r="L39" s="86">
        <v>2.4947805366555258</v>
      </c>
      <c r="M39" s="86">
        <v>2.8208772186049593</v>
      </c>
      <c r="N39" s="86">
        <v>3.01</v>
      </c>
      <c r="O39" s="86">
        <v>2.9369999999999998</v>
      </c>
      <c r="P39" s="86">
        <v>2.7065964720000015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2"/>
      <c r="D40" s="54" t="s">
        <v>50</v>
      </c>
      <c r="E40" s="45" t="str">
        <f t="shared" si="5"/>
        <v>Metered wastewater-only customer</v>
      </c>
      <c r="F40" s="59" t="s">
        <v>45</v>
      </c>
      <c r="G40" s="18"/>
      <c r="H40" s="18"/>
      <c r="I40" s="18"/>
      <c r="J40" s="18"/>
      <c r="K40" s="18"/>
      <c r="L40" s="86">
        <v>10.313693876318652</v>
      </c>
      <c r="M40" s="86">
        <v>11.671101648262322</v>
      </c>
      <c r="N40" s="86">
        <v>12.583</v>
      </c>
      <c r="O40" s="86">
        <v>11.659000000000001</v>
      </c>
      <c r="P40" s="86">
        <v>10.867730077999999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2"/>
      <c r="D41" s="54" t="s">
        <v>50</v>
      </c>
      <c r="E41" s="45" t="str">
        <f t="shared" si="5"/>
        <v>Meterered water and wastewater customer</v>
      </c>
      <c r="F41" s="59" t="s">
        <v>45</v>
      </c>
      <c r="G41" s="18"/>
      <c r="H41" s="18"/>
      <c r="I41" s="18"/>
      <c r="J41" s="18"/>
      <c r="K41" s="18"/>
      <c r="L41" s="86">
        <v>48.788615765052725</v>
      </c>
      <c r="M41" s="86">
        <v>55.632662678162831</v>
      </c>
      <c r="N41" s="86">
        <v>56.963999999999999</v>
      </c>
      <c r="O41" s="86">
        <v>53.433</v>
      </c>
      <c r="P41" s="86">
        <v>57.633602046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2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2"/>
      <c r="D43" s="18"/>
      <c r="E43" s="36" t="s">
        <v>81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2"/>
      <c r="D44" s="54" t="s">
        <v>50</v>
      </c>
      <c r="E44" s="45" t="str">
        <f t="shared" ref="E44:E49" si="6">INDEX(Customer.List,A44)</f>
        <v>Unmetered water-only customer</v>
      </c>
      <c r="F44" s="59" t="s">
        <v>45</v>
      </c>
      <c r="G44" s="18"/>
      <c r="H44" s="18"/>
      <c r="I44" s="18"/>
      <c r="J44" s="18"/>
      <c r="K44" s="18"/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2"/>
      <c r="D45" s="54" t="s">
        <v>50</v>
      </c>
      <c r="E45" s="45" t="str">
        <f t="shared" si="6"/>
        <v>Unmetered wastewater-only customer</v>
      </c>
      <c r="F45" s="59" t="s">
        <v>45</v>
      </c>
      <c r="G45" s="18"/>
      <c r="H45" s="18"/>
      <c r="I45" s="18"/>
      <c r="J45" s="18"/>
      <c r="K45" s="18"/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2"/>
      <c r="D46" s="54" t="s">
        <v>50</v>
      </c>
      <c r="E46" s="45" t="str">
        <f t="shared" si="6"/>
        <v>Unmetered water and wastewater customer</v>
      </c>
      <c r="F46" s="59" t="s">
        <v>45</v>
      </c>
      <c r="G46" s="18"/>
      <c r="H46" s="18"/>
      <c r="I46" s="18"/>
      <c r="J46" s="18"/>
      <c r="K46" s="18"/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2"/>
      <c r="D47" s="54" t="s">
        <v>50</v>
      </c>
      <c r="E47" s="45" t="str">
        <f t="shared" si="6"/>
        <v>Metered water-only customer</v>
      </c>
      <c r="F47" s="59" t="s">
        <v>45</v>
      </c>
      <c r="G47" s="18"/>
      <c r="H47" s="18"/>
      <c r="I47" s="18"/>
      <c r="K47" s="18"/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2"/>
      <c r="D48" s="54" t="s">
        <v>50</v>
      </c>
      <c r="E48" s="45" t="str">
        <f t="shared" si="6"/>
        <v>Metered wastewater-only customer</v>
      </c>
      <c r="F48" s="59" t="s">
        <v>45</v>
      </c>
      <c r="G48" s="18"/>
      <c r="H48" s="18"/>
      <c r="I48" s="18"/>
      <c r="J48" s="18"/>
      <c r="K48" s="18"/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2"/>
      <c r="D49" s="54" t="s">
        <v>50</v>
      </c>
      <c r="E49" s="45" t="str">
        <f t="shared" si="6"/>
        <v>Meterered water and wastewater customer</v>
      </c>
      <c r="F49" s="59" t="s">
        <v>45</v>
      </c>
      <c r="G49" s="18"/>
      <c r="H49" s="18"/>
      <c r="I49" s="18"/>
      <c r="J49" s="18"/>
      <c r="K49" s="18"/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82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84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50</v>
      </c>
      <c r="E52" s="45" t="str">
        <f t="shared" ref="E52:E57" si="7">INDEX(Customer.List,A52)</f>
        <v>Unmetered water-only customer</v>
      </c>
      <c r="F52" s="59" t="s">
        <v>45</v>
      </c>
      <c r="G52" s="18"/>
      <c r="H52" s="18"/>
      <c r="I52" s="18"/>
      <c r="J52" s="18"/>
      <c r="K52" s="18"/>
      <c r="L52" s="81">
        <f>L36+L44</f>
        <v>1.731259260040767</v>
      </c>
      <c r="M52" s="81">
        <f t="shared" ref="M52:P52" si="8">M36+M44</f>
        <v>1.6930906028644654</v>
      </c>
      <c r="N52" s="81">
        <f t="shared" si="8"/>
        <v>1.923</v>
      </c>
      <c r="O52" s="81">
        <f t="shared" si="8"/>
        <v>1.9139999999999999</v>
      </c>
      <c r="P52" s="81">
        <f t="shared" si="8"/>
        <v>1.9100238300000003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50</v>
      </c>
      <c r="E53" s="45" t="str">
        <f t="shared" si="7"/>
        <v>Unmetered wastewater-only customer</v>
      </c>
      <c r="F53" s="59" t="s">
        <v>45</v>
      </c>
      <c r="G53" s="18"/>
      <c r="H53" s="18"/>
      <c r="I53" s="18"/>
      <c r="J53" s="18"/>
      <c r="K53" s="18"/>
      <c r="L53" s="81">
        <f t="shared" ref="L53:P57" si="9">L37+L45</f>
        <v>4.4878317600407671</v>
      </c>
      <c r="M53" s="81">
        <f t="shared" si="9"/>
        <v>4.4539134661640176</v>
      </c>
      <c r="N53" s="81">
        <f t="shared" si="9"/>
        <v>5.0730000000000004</v>
      </c>
      <c r="O53" s="81">
        <f t="shared" si="9"/>
        <v>4.9710000000000001</v>
      </c>
      <c r="P53" s="81">
        <f t="shared" si="9"/>
        <v>5.1255707800000003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50</v>
      </c>
      <c r="E54" s="45" t="str">
        <f t="shared" si="7"/>
        <v>Unmetered water and wastewater customer</v>
      </c>
      <c r="F54" s="59" t="s">
        <v>45</v>
      </c>
      <c r="G54" s="18"/>
      <c r="H54" s="18"/>
      <c r="I54" s="18"/>
      <c r="J54" s="18"/>
      <c r="K54" s="18"/>
      <c r="L54" s="81">
        <f t="shared" si="9"/>
        <v>10.399890479918465</v>
      </c>
      <c r="M54" s="81">
        <f t="shared" si="9"/>
        <v>9.9203984009715143</v>
      </c>
      <c r="N54" s="81">
        <f t="shared" si="9"/>
        <v>10.734</v>
      </c>
      <c r="O54" s="81">
        <f t="shared" si="9"/>
        <v>10.294</v>
      </c>
      <c r="P54" s="81">
        <f t="shared" si="9"/>
        <v>10.052947167999999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50</v>
      </c>
      <c r="E55" s="45" t="str">
        <f t="shared" si="7"/>
        <v>Metered water-only customer</v>
      </c>
      <c r="F55" s="59" t="s">
        <v>45</v>
      </c>
      <c r="G55" s="18"/>
      <c r="H55" s="18"/>
      <c r="I55" s="18"/>
      <c r="K55" s="18"/>
      <c r="L55" s="81">
        <f t="shared" si="9"/>
        <v>2.4947805366555258</v>
      </c>
      <c r="M55" s="81">
        <f t="shared" si="9"/>
        <v>2.8208772186049593</v>
      </c>
      <c r="N55" s="81">
        <f t="shared" si="9"/>
        <v>3.01</v>
      </c>
      <c r="O55" s="81">
        <f t="shared" si="9"/>
        <v>2.9369999999999998</v>
      </c>
      <c r="P55" s="81">
        <f t="shared" si="9"/>
        <v>2.7065964720000015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50</v>
      </c>
      <c r="E56" s="45" t="str">
        <f t="shared" si="7"/>
        <v>Metered wastewater-only customer</v>
      </c>
      <c r="F56" s="59" t="s">
        <v>45</v>
      </c>
      <c r="G56" s="18"/>
      <c r="H56" s="18"/>
      <c r="I56" s="18"/>
      <c r="J56" s="18"/>
      <c r="K56" s="18"/>
      <c r="L56" s="81">
        <f t="shared" si="9"/>
        <v>10.313693876318652</v>
      </c>
      <c r="M56" s="81">
        <f t="shared" si="9"/>
        <v>11.671101648262322</v>
      </c>
      <c r="N56" s="81">
        <f t="shared" si="9"/>
        <v>12.583</v>
      </c>
      <c r="O56" s="81">
        <f t="shared" si="9"/>
        <v>11.659000000000001</v>
      </c>
      <c r="P56" s="81">
        <f t="shared" si="9"/>
        <v>10.867730077999999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50</v>
      </c>
      <c r="E57" s="45" t="str">
        <f t="shared" si="7"/>
        <v>Meterered water and wastewater customer</v>
      </c>
      <c r="F57" s="59" t="s">
        <v>45</v>
      </c>
      <c r="G57" s="18"/>
      <c r="H57" s="18"/>
      <c r="I57" s="18"/>
      <c r="J57" s="18"/>
      <c r="K57" s="18"/>
      <c r="L57" s="81">
        <f t="shared" si="9"/>
        <v>48.788615765052725</v>
      </c>
      <c r="M57" s="81">
        <f t="shared" si="9"/>
        <v>55.632662678162831</v>
      </c>
      <c r="N57" s="81">
        <f t="shared" si="9"/>
        <v>56.963999999999999</v>
      </c>
      <c r="O57" s="81">
        <f t="shared" si="9"/>
        <v>53.433</v>
      </c>
      <c r="P57" s="81">
        <f t="shared" si="9"/>
        <v>57.633602046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83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5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73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87">
        <v>22.21</v>
      </c>
      <c r="M63" s="87">
        <v>22.86</v>
      </c>
      <c r="N63" s="87">
        <v>23.29</v>
      </c>
      <c r="O63" s="87">
        <v>23.52</v>
      </c>
      <c r="P63" s="87">
        <v>23.73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73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88">
        <v>22.21</v>
      </c>
      <c r="M64" s="88">
        <v>22.86</v>
      </c>
      <c r="N64" s="88">
        <v>23.29</v>
      </c>
      <c r="O64" s="88">
        <v>23.52</v>
      </c>
      <c r="P64" s="88">
        <v>23.73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73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88">
        <v>28.88</v>
      </c>
      <c r="M65" s="88">
        <v>29.72</v>
      </c>
      <c r="N65" s="88">
        <v>30.28</v>
      </c>
      <c r="O65" s="88">
        <v>30.57</v>
      </c>
      <c r="P65" s="88">
        <v>30.85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73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88">
        <v>25.01</v>
      </c>
      <c r="M66" s="88">
        <v>25.66</v>
      </c>
      <c r="N66" s="88">
        <v>26.1</v>
      </c>
      <c r="O66" s="88">
        <v>26.33</v>
      </c>
      <c r="P66" s="88">
        <v>26.55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73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88">
        <v>25.76</v>
      </c>
      <c r="M67" s="88">
        <v>26.41</v>
      </c>
      <c r="N67" s="88">
        <v>26.84</v>
      </c>
      <c r="O67" s="88">
        <v>27.08</v>
      </c>
      <c r="P67" s="88">
        <v>27.3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73</v>
      </c>
      <c r="E68" s="45" t="str">
        <f t="shared" si="10"/>
        <v>Meterered water and wastewater customer</v>
      </c>
      <c r="F68" s="19"/>
      <c r="G68" s="18"/>
      <c r="H68" s="18"/>
      <c r="I68" s="18"/>
      <c r="J68" s="18"/>
      <c r="K68" s="22"/>
      <c r="L68" s="88">
        <v>32.82</v>
      </c>
      <c r="M68" s="88">
        <v>33.659999999999997</v>
      </c>
      <c r="N68" s="88">
        <v>34.229999999999997</v>
      </c>
      <c r="O68" s="88">
        <v>34.53</v>
      </c>
      <c r="P68" s="88">
        <v>34.81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5">
      <c r="A70" s="9"/>
      <c r="B70" s="13"/>
      <c r="C70" s="13"/>
      <c r="D70" s="32"/>
      <c r="E70" s="10" t="s">
        <v>69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55</v>
      </c>
      <c r="E72" t="s">
        <v>56</v>
      </c>
      <c r="F72" s="19"/>
      <c r="G72" s="18"/>
      <c r="H72" s="18"/>
      <c r="I72" s="89">
        <v>0.02</v>
      </c>
      <c r="J72" s="25" t="s">
        <v>57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55</v>
      </c>
      <c r="E73" t="s">
        <v>71</v>
      </c>
      <c r="F73" s="19"/>
      <c r="G73" s="18"/>
      <c r="H73" s="18"/>
      <c r="I73" s="89">
        <v>3.5999999999999997E-2</v>
      </c>
      <c r="J73" s="25" t="s">
        <v>70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2"/>
  <sheetViews>
    <sheetView showGridLines="0" tabSelected="1" zoomScale="75" zoomScaleNormal="75" workbookViewId="0">
      <pane xSplit="8" ySplit="7" topLeftCell="I50" activePane="bottomRight" state="frozen"/>
      <selection pane="topRight" activeCell="I1" sqref="I1"/>
      <selection pane="bottomLeft" activeCell="A8" sqref="A8"/>
      <selection pane="bottomRight" activeCell="T92" sqref="T92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57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2" customFormat="1" ht="33.7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5"/>
      <c r="X1" s="29"/>
    </row>
    <row r="2" spans="1:24" s="2" customFormat="1" ht="15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62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1" t="s">
        <v>63</v>
      </c>
    </row>
    <row r="7" spans="1:24"/>
    <row r="8" spans="1:24" s="12" customFormat="1" ht="15">
      <c r="A8" s="9"/>
      <c r="B8" s="13"/>
      <c r="C8" s="13"/>
      <c r="D8" s="32"/>
      <c r="E8" s="10" t="s">
        <v>43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77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49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6600</v>
      </c>
      <c r="M11" s="43">
        <f t="shared" si="3"/>
        <v>10294</v>
      </c>
      <c r="N11" s="43">
        <f t="shared" si="3"/>
        <v>13932</v>
      </c>
      <c r="O11" s="43">
        <f t="shared" si="3"/>
        <v>18290</v>
      </c>
      <c r="P11" s="43">
        <f t="shared" si="3"/>
        <v>21778.000000000015</v>
      </c>
    </row>
    <row r="12" spans="1:24" s="18" customFormat="1">
      <c r="A12" s="8">
        <v>2</v>
      </c>
      <c r="B12"/>
      <c r="C12"/>
      <c r="D12" s="54" t="s">
        <v>49</v>
      </c>
      <c r="E12" s="45" t="str">
        <f t="shared" si="2"/>
        <v>Unmetered wastewater-only customer</v>
      </c>
      <c r="F12" s="19"/>
      <c r="L12" s="43">
        <f t="shared" si="3"/>
        <v>2073</v>
      </c>
      <c r="M12" s="43">
        <f t="shared" si="3"/>
        <v>4245</v>
      </c>
      <c r="N12" s="43">
        <f t="shared" si="3"/>
        <v>9006.0000000000291</v>
      </c>
      <c r="O12" s="43">
        <f t="shared" si="3"/>
        <v>9176</v>
      </c>
      <c r="P12" s="43">
        <f t="shared" si="3"/>
        <v>10812</v>
      </c>
    </row>
    <row r="13" spans="1:24" s="18" customFormat="1">
      <c r="A13" s="8">
        <v>3</v>
      </c>
      <c r="B13"/>
      <c r="C13"/>
      <c r="D13" s="54" t="s">
        <v>49</v>
      </c>
      <c r="E13" s="45" t="str">
        <f t="shared" si="2"/>
        <v>Unmetered water and wastewater customer</v>
      </c>
      <c r="F13" s="19"/>
      <c r="L13" s="43">
        <f t="shared" si="3"/>
        <v>18290</v>
      </c>
      <c r="M13" s="43">
        <f t="shared" si="3"/>
        <v>29759</v>
      </c>
      <c r="N13" s="43">
        <f t="shared" si="3"/>
        <v>37759</v>
      </c>
      <c r="O13" s="43">
        <f t="shared" si="3"/>
        <v>50471</v>
      </c>
      <c r="P13" s="43">
        <f t="shared" si="3"/>
        <v>59138</v>
      </c>
    </row>
    <row r="14" spans="1:24" s="18" customFormat="1">
      <c r="A14" s="8">
        <v>4</v>
      </c>
      <c r="B14"/>
      <c r="C14"/>
      <c r="D14" s="54" t="s">
        <v>49</v>
      </c>
      <c r="E14" s="45" t="str">
        <f t="shared" si="2"/>
        <v>Metered water-only customer</v>
      </c>
      <c r="F14" s="19"/>
      <c r="L14" s="43">
        <f t="shared" si="3"/>
        <v>-10906</v>
      </c>
      <c r="M14" s="43">
        <f t="shared" si="3"/>
        <v>-16191</v>
      </c>
      <c r="N14" s="43">
        <f t="shared" si="3"/>
        <v>-21124</v>
      </c>
      <c r="O14" s="43">
        <f t="shared" si="3"/>
        <v>-24470</v>
      </c>
      <c r="P14" s="43">
        <f t="shared" si="3"/>
        <v>-30680.999999999913</v>
      </c>
    </row>
    <row r="15" spans="1:24" s="18" customFormat="1">
      <c r="A15" s="8">
        <v>5</v>
      </c>
      <c r="B15"/>
      <c r="C15"/>
      <c r="D15" s="54" t="s">
        <v>49</v>
      </c>
      <c r="E15" s="45" t="str">
        <f t="shared" si="2"/>
        <v>Metered wastewater-only customer</v>
      </c>
      <c r="F15" s="19"/>
      <c r="L15" s="43">
        <f t="shared" si="3"/>
        <v>-8382</v>
      </c>
      <c r="M15" s="43">
        <f t="shared" si="3"/>
        <v>-7829</v>
      </c>
      <c r="N15" s="43">
        <f t="shared" si="3"/>
        <v>-11338</v>
      </c>
      <c r="O15" s="43">
        <f t="shared" si="3"/>
        <v>-15410</v>
      </c>
      <c r="P15" s="43">
        <f t="shared" si="3"/>
        <v>-17340</v>
      </c>
    </row>
    <row r="16" spans="1:24" s="18" customFormat="1">
      <c r="A16" s="8">
        <v>6</v>
      </c>
      <c r="B16"/>
      <c r="C16"/>
      <c r="D16" s="54" t="s">
        <v>49</v>
      </c>
      <c r="E16" s="45" t="str">
        <f t="shared" si="2"/>
        <v>Meterered water and wastewater customer</v>
      </c>
      <c r="F16" s="19"/>
      <c r="L16" s="43">
        <f t="shared" si="3"/>
        <v>-36109</v>
      </c>
      <c r="M16" s="43">
        <f t="shared" si="3"/>
        <v>-42090</v>
      </c>
      <c r="N16" s="43">
        <f t="shared" si="3"/>
        <v>-57537</v>
      </c>
      <c r="O16" s="43">
        <f t="shared" si="3"/>
        <v>-60525</v>
      </c>
      <c r="P16" s="43">
        <f t="shared" si="3"/>
        <v>-64073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-28434</v>
      </c>
      <c r="M17" s="46">
        <f t="shared" ref="M17:P17" si="4">SUM(M11:M16)</f>
        <v>-21812</v>
      </c>
      <c r="N17" s="46">
        <f t="shared" si="4"/>
        <v>-29301.999999999971</v>
      </c>
      <c r="O17" s="46">
        <f t="shared" si="4"/>
        <v>-22468</v>
      </c>
      <c r="P17" s="46">
        <f t="shared" si="4"/>
        <v>-20365.999999999898</v>
      </c>
      <c r="Q17" s="22"/>
      <c r="R17" s="22"/>
      <c r="S17" s="22"/>
      <c r="T17" s="22"/>
      <c r="U17" s="22"/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Q18" s="22"/>
      <c r="R18" s="22"/>
      <c r="S18" s="22"/>
      <c r="T18" s="22"/>
      <c r="U18" s="22"/>
      <c r="W18" s="22"/>
    </row>
    <row r="19" spans="1:24" s="3" customFormat="1">
      <c r="B19"/>
      <c r="C19"/>
      <c r="D19" s="49"/>
      <c r="E19" s="6" t="s">
        <v>78</v>
      </c>
      <c r="F19" s="19"/>
      <c r="L19" s="22"/>
      <c r="M19" s="22"/>
      <c r="N19" s="22"/>
      <c r="O19" s="22"/>
      <c r="P19" s="22"/>
      <c r="Q19" s="22"/>
      <c r="R19" s="22"/>
      <c r="S19" s="22"/>
      <c r="T19" s="22"/>
      <c r="U19" s="22"/>
      <c r="W19" s="22"/>
      <c r="X19" s="18"/>
    </row>
    <row r="20" spans="1:24" s="18" customFormat="1">
      <c r="A20" s="8">
        <v>1</v>
      </c>
      <c r="B20"/>
      <c r="C20"/>
      <c r="D20" s="54" t="s">
        <v>49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-1836</v>
      </c>
      <c r="M20" s="43">
        <f t="shared" si="6"/>
        <v>6099</v>
      </c>
      <c r="N20" s="43">
        <f t="shared" si="6"/>
        <v>3584</v>
      </c>
      <c r="O20" s="43">
        <f t="shared" si="6"/>
        <v>14632</v>
      </c>
      <c r="P20" s="43">
        <f t="shared" si="6"/>
        <v>16411</v>
      </c>
    </row>
    <row r="21" spans="1:24" s="18" customFormat="1">
      <c r="A21" s="8">
        <v>2</v>
      </c>
      <c r="B21"/>
      <c r="C21"/>
      <c r="D21" s="54" t="s">
        <v>49</v>
      </c>
      <c r="E21" s="45" t="str">
        <f t="shared" si="5"/>
        <v>Unmetered wastewater-only customer</v>
      </c>
      <c r="F21" s="19"/>
      <c r="L21" s="43">
        <f t="shared" si="6"/>
        <v>-10284.000000000029</v>
      </c>
      <c r="M21" s="43">
        <f t="shared" si="6"/>
        <v>-7311</v>
      </c>
      <c r="N21" s="43">
        <f t="shared" si="6"/>
        <v>-7854</v>
      </c>
      <c r="O21" s="43">
        <f t="shared" si="6"/>
        <v>3689</v>
      </c>
      <c r="P21" s="43">
        <f t="shared" si="6"/>
        <v>6483</v>
      </c>
    </row>
    <row r="22" spans="1:24" s="18" customFormat="1">
      <c r="A22" s="8">
        <v>3</v>
      </c>
      <c r="B22"/>
      <c r="C22"/>
      <c r="D22" s="54" t="s">
        <v>49</v>
      </c>
      <c r="E22" s="45" t="str">
        <f t="shared" si="5"/>
        <v>Unmetered water and wastewater customer</v>
      </c>
      <c r="F22" s="19"/>
      <c r="L22" s="43">
        <f t="shared" si="6"/>
        <v>11177</v>
      </c>
      <c r="M22" s="43">
        <f t="shared" si="6"/>
        <v>27277</v>
      </c>
      <c r="N22" s="43">
        <f t="shared" si="6"/>
        <v>28505</v>
      </c>
      <c r="O22" s="43">
        <f t="shared" si="6"/>
        <v>60510</v>
      </c>
      <c r="P22" s="43">
        <f t="shared" si="6"/>
        <v>63114</v>
      </c>
    </row>
    <row r="23" spans="1:24" s="18" customFormat="1">
      <c r="A23" s="8">
        <v>4</v>
      </c>
      <c r="B23"/>
      <c r="C23"/>
      <c r="D23" s="54" t="s">
        <v>49</v>
      </c>
      <c r="E23" s="45" t="str">
        <f t="shared" si="5"/>
        <v>Metered water-only customer</v>
      </c>
      <c r="F23" s="19"/>
      <c r="L23" s="43">
        <f t="shared" si="6"/>
        <v>-8880.0000000000146</v>
      </c>
      <c r="M23" s="43">
        <f t="shared" si="6"/>
        <v>-30166</v>
      </c>
      <c r="N23" s="43">
        <f t="shared" si="6"/>
        <v>-35084</v>
      </c>
      <c r="O23" s="43">
        <f t="shared" si="6"/>
        <v>-27122</v>
      </c>
      <c r="P23" s="43">
        <f t="shared" si="6"/>
        <v>-30257</v>
      </c>
    </row>
    <row r="24" spans="1:24" s="18" customFormat="1">
      <c r="A24" s="8">
        <v>5</v>
      </c>
      <c r="B24"/>
      <c r="C24"/>
      <c r="D24" s="54" t="s">
        <v>49</v>
      </c>
      <c r="E24" s="45" t="str">
        <f t="shared" si="5"/>
        <v>Metered wastewater-only customer</v>
      </c>
      <c r="F24" s="19"/>
      <c r="L24" s="43">
        <f t="shared" si="6"/>
        <v>-808</v>
      </c>
      <c r="M24" s="43">
        <f t="shared" si="6"/>
        <v>-13533</v>
      </c>
      <c r="N24" s="43">
        <f t="shared" si="6"/>
        <v>-18553</v>
      </c>
      <c r="O24" s="43">
        <f t="shared" si="6"/>
        <v>-14369</v>
      </c>
      <c r="P24" s="43">
        <f t="shared" si="6"/>
        <v>-15363</v>
      </c>
    </row>
    <row r="25" spans="1:24" s="18" customFormat="1">
      <c r="A25" s="8">
        <v>6</v>
      </c>
      <c r="B25"/>
      <c r="C25"/>
      <c r="D25" s="54" t="s">
        <v>49</v>
      </c>
      <c r="E25" s="45" t="str">
        <f t="shared" si="5"/>
        <v>Meterered water and wastewater customer</v>
      </c>
      <c r="F25" s="19"/>
      <c r="L25" s="43">
        <f t="shared" si="6"/>
        <v>-3640</v>
      </c>
      <c r="M25" s="43">
        <f t="shared" si="6"/>
        <v>-33938</v>
      </c>
      <c r="N25" s="43">
        <f t="shared" si="6"/>
        <v>-29979</v>
      </c>
      <c r="O25" s="43">
        <f t="shared" si="6"/>
        <v>-67458</v>
      </c>
      <c r="P25" s="43">
        <f t="shared" si="6"/>
        <v>-59525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-14271.000000000044</v>
      </c>
      <c r="M26" s="46">
        <f t="shared" ref="M26:P26" si="7">SUM(M20:M25)</f>
        <v>-51572</v>
      </c>
      <c r="N26" s="46">
        <f t="shared" si="7"/>
        <v>-59381</v>
      </c>
      <c r="O26" s="46">
        <f t="shared" si="7"/>
        <v>-30118</v>
      </c>
      <c r="P26" s="46">
        <f t="shared" si="7"/>
        <v>-19137</v>
      </c>
      <c r="Q26" s="22"/>
      <c r="R26" s="22"/>
      <c r="S26" s="22"/>
      <c r="T26" s="22"/>
      <c r="U26" s="22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Q27" s="22"/>
      <c r="R27" s="22"/>
      <c r="S27" s="22"/>
      <c r="T27" s="22"/>
      <c r="U27" s="22"/>
      <c r="W27" s="22"/>
    </row>
    <row r="28" spans="1:24" s="18" customFormat="1">
      <c r="A28"/>
      <c r="B28"/>
      <c r="C28"/>
      <c r="D28" s="49"/>
      <c r="E28" s="14" t="s">
        <v>74</v>
      </c>
      <c r="F28" s="19"/>
      <c r="L28" s="42"/>
      <c r="M28" s="42"/>
      <c r="N28" s="42"/>
      <c r="O28" s="42"/>
      <c r="P28" s="42"/>
      <c r="Q28" s="37"/>
      <c r="R28" s="37"/>
      <c r="S28" s="37"/>
      <c r="T28" s="37"/>
      <c r="U28" s="37"/>
      <c r="W28" s="37"/>
    </row>
    <row r="29" spans="1:24" s="18" customFormat="1">
      <c r="A29" s="8">
        <v>1</v>
      </c>
      <c r="B29"/>
      <c r="C29"/>
      <c r="D29" s="54" t="s">
        <v>50</v>
      </c>
      <c r="E29" s="45" t="str">
        <f t="shared" ref="E29:E34" si="8">INDEX(Customer.List,A29)</f>
        <v>Unmetered water-only customer</v>
      </c>
      <c r="F29" s="59" t="s">
        <v>45</v>
      </c>
      <c r="L29" s="43">
        <f t="shared" ref="L29:P34" si="9">(L11-L20)*INDEX(Modification.Factor,$A29,L$6)/1000000</f>
        <v>0.18736355999999998</v>
      </c>
      <c r="M29" s="43">
        <f t="shared" si="9"/>
        <v>9.5897700000000002E-2</v>
      </c>
      <c r="N29" s="43">
        <f t="shared" si="9"/>
        <v>0.24100491999999998</v>
      </c>
      <c r="O29" s="43">
        <f t="shared" si="9"/>
        <v>8.603616E-2</v>
      </c>
      <c r="P29" s="43">
        <f t="shared" si="9"/>
        <v>0.12735891000000035</v>
      </c>
    </row>
    <row r="30" spans="1:24" s="18" customFormat="1">
      <c r="A30" s="8">
        <v>2</v>
      </c>
      <c r="B30"/>
      <c r="C30"/>
      <c r="D30" s="54" t="s">
        <v>50</v>
      </c>
      <c r="E30" s="45" t="str">
        <f t="shared" si="8"/>
        <v>Unmetered wastewater-only customer</v>
      </c>
      <c r="F30" s="59" t="s">
        <v>45</v>
      </c>
      <c r="L30" s="43">
        <f t="shared" si="9"/>
        <v>0.27444897000000068</v>
      </c>
      <c r="M30" s="43">
        <f t="shared" si="9"/>
        <v>0.26417015999999999</v>
      </c>
      <c r="N30" s="43">
        <f t="shared" si="9"/>
        <v>0.39266940000000067</v>
      </c>
      <c r="O30" s="43">
        <f t="shared" si="9"/>
        <v>0.12905423999999999</v>
      </c>
      <c r="P30" s="43">
        <f t="shared" si="9"/>
        <v>0.10272716999999999</v>
      </c>
    </row>
    <row r="31" spans="1:24" s="18" customFormat="1">
      <c r="A31" s="8">
        <v>3</v>
      </c>
      <c r="D31" s="54" t="s">
        <v>50</v>
      </c>
      <c r="E31" s="45" t="str">
        <f t="shared" si="8"/>
        <v>Unmetered water and wastewater customer</v>
      </c>
      <c r="F31" s="59" t="s">
        <v>45</v>
      </c>
      <c r="L31" s="43">
        <f t="shared" si="9"/>
        <v>0.20542344000000001</v>
      </c>
      <c r="M31" s="43">
        <f t="shared" si="9"/>
        <v>7.376503999999999E-2</v>
      </c>
      <c r="N31" s="43">
        <f t="shared" si="9"/>
        <v>0.28021111999999998</v>
      </c>
      <c r="O31" s="43">
        <f t="shared" si="9"/>
        <v>-0.30689222999999999</v>
      </c>
      <c r="P31" s="43">
        <f t="shared" si="9"/>
        <v>-0.12265960000000001</v>
      </c>
    </row>
    <row r="32" spans="1:24" s="18" customFormat="1">
      <c r="A32" s="8">
        <v>4</v>
      </c>
      <c r="D32" s="54" t="s">
        <v>50</v>
      </c>
      <c r="E32" s="45" t="str">
        <f t="shared" si="8"/>
        <v>Metered water-only customer</v>
      </c>
      <c r="F32" s="59" t="s">
        <v>45</v>
      </c>
      <c r="L32" s="43">
        <f t="shared" si="9"/>
        <v>-5.0670259999999641E-2</v>
      </c>
      <c r="M32" s="43">
        <f t="shared" si="9"/>
        <v>0.35859849999999999</v>
      </c>
      <c r="N32" s="43">
        <f t="shared" si="9"/>
        <v>0.36435600000000001</v>
      </c>
      <c r="O32" s="43">
        <f t="shared" si="9"/>
        <v>6.9827159999999985E-2</v>
      </c>
      <c r="P32" s="43">
        <f t="shared" si="9"/>
        <v>-1.1257199999997681E-2</v>
      </c>
    </row>
    <row r="33" spans="1:24" s="18" customFormat="1">
      <c r="A33" s="8">
        <v>5</v>
      </c>
      <c r="D33" s="54" t="s">
        <v>50</v>
      </c>
      <c r="E33" s="45" t="str">
        <f t="shared" si="8"/>
        <v>Metered wastewater-only customer</v>
      </c>
      <c r="F33" s="59" t="s">
        <v>45</v>
      </c>
      <c r="L33" s="43">
        <f t="shared" si="9"/>
        <v>-0.19510624000000001</v>
      </c>
      <c r="M33" s="43">
        <f t="shared" si="9"/>
        <v>0.15064264000000002</v>
      </c>
      <c r="N33" s="43">
        <f t="shared" si="9"/>
        <v>0.19365060000000001</v>
      </c>
      <c r="O33" s="43">
        <f t="shared" si="9"/>
        <v>-2.8190279999999998E-2</v>
      </c>
      <c r="P33" s="43">
        <f t="shared" si="9"/>
        <v>-5.3972099999999995E-2</v>
      </c>
    </row>
    <row r="34" spans="1:24" s="18" customFormat="1">
      <c r="A34" s="8">
        <v>6</v>
      </c>
      <c r="D34" s="54" t="s">
        <v>50</v>
      </c>
      <c r="E34" s="45" t="str">
        <f t="shared" si="8"/>
        <v>Meterered water and wastewater customer</v>
      </c>
      <c r="F34" s="59" t="s">
        <v>45</v>
      </c>
      <c r="L34" s="43">
        <f t="shared" si="9"/>
        <v>-1.0656325800000002</v>
      </c>
      <c r="M34" s="43">
        <f t="shared" si="9"/>
        <v>-0.27439631999999997</v>
      </c>
      <c r="N34" s="43">
        <f t="shared" si="9"/>
        <v>-0.94331033999999991</v>
      </c>
      <c r="O34" s="43">
        <f t="shared" si="9"/>
        <v>0.23939649000000002</v>
      </c>
      <c r="P34" s="43">
        <f t="shared" si="9"/>
        <v>-0.15831587999999999</v>
      </c>
    </row>
    <row r="35" spans="1:24" s="18" customFormat="1">
      <c r="D35" s="54" t="s">
        <v>50</v>
      </c>
      <c r="E35" s="14" t="s">
        <v>22</v>
      </c>
      <c r="F35" s="19"/>
      <c r="L35" s="46">
        <f>SUM(L29:L34)</f>
        <v>-0.64417310999999911</v>
      </c>
      <c r="M35" s="46">
        <f t="shared" ref="M35:P35" si="10">SUM(M29:M34)</f>
        <v>0.66867772000000003</v>
      </c>
      <c r="N35" s="46">
        <f t="shared" si="10"/>
        <v>0.52858170000000093</v>
      </c>
      <c r="O35" s="46">
        <f t="shared" si="10"/>
        <v>0.18923154</v>
      </c>
      <c r="P35" s="46">
        <f t="shared" si="10"/>
        <v>-0.11611869999999731</v>
      </c>
      <c r="Q35" s="22"/>
      <c r="R35" s="22"/>
      <c r="S35" s="22"/>
      <c r="T35" s="22"/>
      <c r="U35" s="22"/>
      <c r="W35" s="41">
        <f>SUM(L35:P35)</f>
        <v>0.62619915000000448</v>
      </c>
    </row>
    <row r="36" spans="1:24" s="3" customFormat="1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22"/>
      <c r="R36" s="22"/>
      <c r="S36" s="22"/>
      <c r="T36" s="22"/>
      <c r="U36" s="22"/>
      <c r="W36" s="22"/>
      <c r="X36" s="18"/>
    </row>
    <row r="37" spans="1:24" s="18" customFormat="1">
      <c r="D37" s="54" t="s">
        <v>50</v>
      </c>
      <c r="E37" s="14" t="s">
        <v>60</v>
      </c>
      <c r="F37" s="19"/>
      <c r="L37" s="41"/>
      <c r="M37" s="41"/>
      <c r="N37" s="41"/>
      <c r="O37" s="41"/>
      <c r="P37" s="76">
        <f>SUM(L35:P35)</f>
        <v>0.62619915000000448</v>
      </c>
      <c r="Q37" s="22"/>
      <c r="R37" s="22"/>
      <c r="S37" s="22"/>
      <c r="T37" s="22"/>
      <c r="U37" s="22"/>
      <c r="W37" s="22"/>
    </row>
    <row r="38" spans="1:24" s="18" customFormat="1">
      <c r="D38" s="33"/>
      <c r="E38" s="15"/>
      <c r="F38" s="19"/>
      <c r="L38" s="41"/>
      <c r="M38" s="41"/>
      <c r="N38" s="41"/>
      <c r="O38" s="41"/>
      <c r="P38" s="41"/>
      <c r="Q38" s="22"/>
      <c r="R38" s="22"/>
      <c r="S38" s="22"/>
      <c r="T38" s="22"/>
      <c r="U38" s="22"/>
      <c r="W38" s="22"/>
    </row>
    <row r="39" spans="1:24" s="3" customFormat="1">
      <c r="D39" s="49"/>
      <c r="E39" s="14" t="s">
        <v>47</v>
      </c>
      <c r="F39" s="19"/>
      <c r="J39" s="18"/>
      <c r="L39" s="77"/>
      <c r="M39" s="77"/>
      <c r="N39" s="77"/>
      <c r="O39" s="77"/>
      <c r="P39" s="77"/>
      <c r="Q39" s="22"/>
      <c r="R39" s="37"/>
      <c r="S39" s="37"/>
      <c r="T39" s="37"/>
      <c r="U39" s="37"/>
      <c r="W39" s="37"/>
      <c r="X39" s="18"/>
    </row>
    <row r="40" spans="1:24" s="18" customFormat="1">
      <c r="A40" s="8">
        <v>1</v>
      </c>
      <c r="D40" s="54" t="s">
        <v>50</v>
      </c>
      <c r="E40" s="45" t="str">
        <f t="shared" ref="E40:E45" si="11">INDEX(Customer.List,A40)</f>
        <v>Unmetered water-only customer</v>
      </c>
      <c r="F40" s="59" t="s">
        <v>45</v>
      </c>
      <c r="L40" s="43">
        <f t="shared" ref="L40:P45" si="12">INDEX(Reforecast.Customer.Numbers,$A20,L$6)*INDEX(Modification.Factor,$A29,L$6)/1000000</f>
        <v>2.1430206899999997</v>
      </c>
      <c r="M40" s="43">
        <f t="shared" si="12"/>
        <v>2.2175571600000001</v>
      </c>
      <c r="N40" s="43">
        <f t="shared" si="12"/>
        <v>2.0293042799999998</v>
      </c>
      <c r="O40" s="43">
        <f t="shared" si="12"/>
        <v>2.13992016</v>
      </c>
      <c r="P40" s="43">
        <f t="shared" si="12"/>
        <v>2.04358014</v>
      </c>
      <c r="Q40" s="22"/>
    </row>
    <row r="41" spans="1:24" s="18" customFormat="1">
      <c r="A41" s="8">
        <v>2</v>
      </c>
      <c r="D41" s="54" t="s">
        <v>50</v>
      </c>
      <c r="E41" s="45" t="str">
        <f t="shared" si="11"/>
        <v>Unmetered wastewater-only customer</v>
      </c>
      <c r="F41" s="59" t="s">
        <v>45</v>
      </c>
      <c r="L41" s="43">
        <f t="shared" si="12"/>
        <v>5.7664489300000001</v>
      </c>
      <c r="M41" s="43">
        <f t="shared" si="12"/>
        <v>5.7462496200000004</v>
      </c>
      <c r="N41" s="43">
        <f t="shared" si="12"/>
        <v>5.580470319999999</v>
      </c>
      <c r="O41" s="43">
        <f t="shared" si="12"/>
        <v>5.6447059199999998</v>
      </c>
      <c r="P41" s="43">
        <f t="shared" si="12"/>
        <v>5.4989766299999996</v>
      </c>
      <c r="Q41" s="22"/>
    </row>
    <row r="42" spans="1:24" s="18" customFormat="1">
      <c r="A42" s="8">
        <v>3</v>
      </c>
      <c r="D42" s="54" t="s">
        <v>50</v>
      </c>
      <c r="E42" s="45" t="str">
        <f t="shared" si="11"/>
        <v>Unmetered water and wastewater customer</v>
      </c>
      <c r="F42" s="59" t="s">
        <v>45</v>
      </c>
      <c r="L42" s="43">
        <f t="shared" si="12"/>
        <v>8.8960507999999994</v>
      </c>
      <c r="M42" s="43">
        <f t="shared" si="12"/>
        <v>8.682816879999999</v>
      </c>
      <c r="N42" s="43">
        <f t="shared" si="12"/>
        <v>7.9459262000000006</v>
      </c>
      <c r="O42" s="43">
        <f t="shared" si="12"/>
        <v>8.0827385700000001</v>
      </c>
      <c r="P42" s="43">
        <f t="shared" si="12"/>
        <v>7.4041542500000004</v>
      </c>
      <c r="Q42" s="22"/>
    </row>
    <row r="43" spans="1:24" s="18" customFormat="1">
      <c r="A43" s="8">
        <v>4</v>
      </c>
      <c r="D43" s="54" t="s">
        <v>50</v>
      </c>
      <c r="E43" s="45" t="str">
        <f t="shared" si="11"/>
        <v>Metered water-only customer</v>
      </c>
      <c r="F43" s="59" t="s">
        <v>45</v>
      </c>
      <c r="L43" s="43">
        <f t="shared" si="12"/>
        <v>3.2436469400000001</v>
      </c>
      <c r="M43" s="43">
        <f t="shared" si="12"/>
        <v>3.0147933999999998</v>
      </c>
      <c r="N43" s="43">
        <f t="shared" si="12"/>
        <v>3.1764744000000005</v>
      </c>
      <c r="O43" s="43">
        <f t="shared" si="12"/>
        <v>3.6519446699999998</v>
      </c>
      <c r="P43" s="43">
        <f t="shared" si="12"/>
        <v>3.8267046000000002</v>
      </c>
      <c r="Q43" s="22"/>
    </row>
    <row r="44" spans="1:24" s="18" customFormat="1">
      <c r="A44" s="8">
        <v>5</v>
      </c>
      <c r="D44" s="54" t="s">
        <v>50</v>
      </c>
      <c r="E44" s="45" t="str">
        <f t="shared" si="11"/>
        <v>Metered wastewater-only customer</v>
      </c>
      <c r="F44" s="59" t="s">
        <v>45</v>
      </c>
      <c r="L44" s="43">
        <f t="shared" si="12"/>
        <v>13.83693248</v>
      </c>
      <c r="M44" s="43">
        <f t="shared" si="12"/>
        <v>14.251311380000001</v>
      </c>
      <c r="N44" s="43">
        <f t="shared" si="12"/>
        <v>14.766401759999999</v>
      </c>
      <c r="O44" s="43">
        <f t="shared" si="12"/>
        <v>15.456072479999998</v>
      </c>
      <c r="P44" s="43">
        <f t="shared" si="12"/>
        <v>16.031624700000002</v>
      </c>
      <c r="Q44" s="22"/>
    </row>
    <row r="45" spans="1:24" s="18" customFormat="1">
      <c r="A45" s="8">
        <v>6</v>
      </c>
      <c r="D45" s="54" t="s">
        <v>50</v>
      </c>
      <c r="E45" s="45" t="str">
        <f t="shared" si="11"/>
        <v>Meterered water and wastewater customer</v>
      </c>
      <c r="F45" s="59" t="s">
        <v>45</v>
      </c>
      <c r="L45" s="43">
        <f t="shared" si="12"/>
        <v>46.402491359999999</v>
      </c>
      <c r="M45" s="43">
        <f t="shared" si="12"/>
        <v>48.163993019999992</v>
      </c>
      <c r="N45" s="43">
        <f t="shared" si="12"/>
        <v>50.736493289999991</v>
      </c>
      <c r="O45" s="43">
        <f t="shared" si="12"/>
        <v>51.525355230000002</v>
      </c>
      <c r="P45" s="43">
        <f t="shared" si="12"/>
        <v>53.797845510000002</v>
      </c>
      <c r="Q45" s="22"/>
    </row>
    <row r="46" spans="1:24" s="18" customFormat="1" ht="13.5" customHeight="1">
      <c r="D46" s="54" t="s">
        <v>50</v>
      </c>
      <c r="E46" s="14" t="s">
        <v>22</v>
      </c>
      <c r="F46" s="19"/>
      <c r="L46" s="46">
        <f>SUM(L40:L45)</f>
        <v>80.288591199999999</v>
      </c>
      <c r="M46" s="46">
        <f t="shared" ref="M46:P46" si="13">SUM(M40:M45)</f>
        <v>82.076721459999987</v>
      </c>
      <c r="N46" s="46">
        <f t="shared" si="13"/>
        <v>84.235070249999993</v>
      </c>
      <c r="O46" s="46">
        <f t="shared" si="13"/>
        <v>86.500737029999996</v>
      </c>
      <c r="P46" s="46">
        <f t="shared" si="13"/>
        <v>88.602885830000005</v>
      </c>
      <c r="Q46" s="22"/>
      <c r="R46" s="22"/>
      <c r="S46" s="22"/>
      <c r="T46" s="22"/>
      <c r="U46" s="22"/>
      <c r="W46" s="41">
        <f>SUM(L46:P46)</f>
        <v>421.70400576999992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22"/>
      <c r="R47" s="22"/>
      <c r="S47" s="22"/>
      <c r="T47" s="22"/>
      <c r="U47" s="22"/>
      <c r="W47" s="22"/>
      <c r="X47" s="18"/>
    </row>
    <row r="48" spans="1:24" s="18" customFormat="1">
      <c r="D48" s="49"/>
      <c r="E48" s="14" t="s">
        <v>46</v>
      </c>
      <c r="F48" s="19"/>
      <c r="L48" s="42"/>
      <c r="M48" s="42"/>
      <c r="N48" s="42"/>
      <c r="O48" s="42"/>
      <c r="P48" s="42"/>
      <c r="Q48" s="22"/>
      <c r="R48" s="37"/>
      <c r="S48" s="37"/>
      <c r="T48" s="37"/>
      <c r="U48" s="37"/>
      <c r="W48" s="37"/>
    </row>
    <row r="49" spans="1:23" s="18" customFormat="1">
      <c r="A49" s="8">
        <v>1</v>
      </c>
      <c r="D49" s="54" t="s">
        <v>50</v>
      </c>
      <c r="E49" s="45" t="str">
        <f t="shared" ref="E49:E54" si="14">INDEX(Customer.List,A49)</f>
        <v>Unmetered water-only customer</v>
      </c>
      <c r="F49" s="59" t="s">
        <v>45</v>
      </c>
      <c r="L49" s="43">
        <f t="shared" ref="L49:P54" si="15">INDEX(Actual.Revenue.Collected.Net,$A49,L$6)</f>
        <v>1.731259260040767</v>
      </c>
      <c r="M49" s="43">
        <f t="shared" si="15"/>
        <v>1.6930906028644654</v>
      </c>
      <c r="N49" s="43">
        <f t="shared" si="15"/>
        <v>1.923</v>
      </c>
      <c r="O49" s="43">
        <f t="shared" si="15"/>
        <v>1.9139999999999999</v>
      </c>
      <c r="P49" s="43">
        <f t="shared" si="15"/>
        <v>1.9100238300000003</v>
      </c>
      <c r="Q49" s="22"/>
    </row>
    <row r="50" spans="1:23" s="18" customFormat="1">
      <c r="A50" s="8">
        <v>2</v>
      </c>
      <c r="D50" s="54" t="s">
        <v>50</v>
      </c>
      <c r="E50" s="45" t="str">
        <f t="shared" si="14"/>
        <v>Unmetered wastewater-only customer</v>
      </c>
      <c r="F50" s="59" t="s">
        <v>45</v>
      </c>
      <c r="L50" s="43">
        <f t="shared" si="15"/>
        <v>4.4878317600407671</v>
      </c>
      <c r="M50" s="43">
        <f t="shared" si="15"/>
        <v>4.4539134661640176</v>
      </c>
      <c r="N50" s="43">
        <f t="shared" si="15"/>
        <v>5.0730000000000004</v>
      </c>
      <c r="O50" s="43">
        <f t="shared" si="15"/>
        <v>4.9710000000000001</v>
      </c>
      <c r="P50" s="43">
        <f t="shared" si="15"/>
        <v>5.1255707800000003</v>
      </c>
      <c r="Q50" s="22"/>
    </row>
    <row r="51" spans="1:23" s="18" customFormat="1">
      <c r="A51" s="8">
        <v>3</v>
      </c>
      <c r="D51" s="54" t="s">
        <v>50</v>
      </c>
      <c r="E51" s="45" t="str">
        <f t="shared" si="14"/>
        <v>Unmetered water and wastewater customer</v>
      </c>
      <c r="F51" s="59" t="s">
        <v>45</v>
      </c>
      <c r="L51" s="43">
        <f t="shared" si="15"/>
        <v>10.399890479918465</v>
      </c>
      <c r="M51" s="43">
        <f t="shared" si="15"/>
        <v>9.9203984009715143</v>
      </c>
      <c r="N51" s="43">
        <f t="shared" si="15"/>
        <v>10.734</v>
      </c>
      <c r="O51" s="43">
        <f t="shared" si="15"/>
        <v>10.294</v>
      </c>
      <c r="P51" s="43">
        <f t="shared" si="15"/>
        <v>10.052947167999999</v>
      </c>
      <c r="Q51" s="22"/>
    </row>
    <row r="52" spans="1:23" s="18" customFormat="1">
      <c r="A52" s="8">
        <v>4</v>
      </c>
      <c r="D52" s="54" t="s">
        <v>50</v>
      </c>
      <c r="E52" s="45" t="str">
        <f t="shared" si="14"/>
        <v>Metered water-only customer</v>
      </c>
      <c r="F52" s="59" t="s">
        <v>45</v>
      </c>
      <c r="L52" s="43">
        <f t="shared" si="15"/>
        <v>2.4947805366555258</v>
      </c>
      <c r="M52" s="43">
        <f t="shared" si="15"/>
        <v>2.8208772186049593</v>
      </c>
      <c r="N52" s="43">
        <f t="shared" si="15"/>
        <v>3.01</v>
      </c>
      <c r="O52" s="43">
        <f t="shared" si="15"/>
        <v>2.9369999999999998</v>
      </c>
      <c r="P52" s="43">
        <f t="shared" si="15"/>
        <v>2.7065964720000015</v>
      </c>
      <c r="Q52" s="22"/>
    </row>
    <row r="53" spans="1:23" s="18" customFormat="1">
      <c r="A53" s="8">
        <v>5</v>
      </c>
      <c r="D53" s="54" t="s">
        <v>50</v>
      </c>
      <c r="E53" s="45" t="str">
        <f t="shared" si="14"/>
        <v>Metered wastewater-only customer</v>
      </c>
      <c r="F53" s="59" t="s">
        <v>45</v>
      </c>
      <c r="L53" s="43">
        <f t="shared" si="15"/>
        <v>10.313693876318652</v>
      </c>
      <c r="M53" s="43">
        <f t="shared" si="15"/>
        <v>11.671101648262322</v>
      </c>
      <c r="N53" s="43">
        <f t="shared" si="15"/>
        <v>12.583</v>
      </c>
      <c r="O53" s="43">
        <f t="shared" si="15"/>
        <v>11.659000000000001</v>
      </c>
      <c r="P53" s="43">
        <f t="shared" si="15"/>
        <v>10.867730077999999</v>
      </c>
      <c r="Q53" s="22"/>
    </row>
    <row r="54" spans="1:23" s="18" customFormat="1">
      <c r="A54" s="8">
        <v>6</v>
      </c>
      <c r="D54" s="54" t="s">
        <v>50</v>
      </c>
      <c r="E54" s="45" t="str">
        <f t="shared" si="14"/>
        <v>Meterered water and wastewater customer</v>
      </c>
      <c r="F54" s="59" t="s">
        <v>45</v>
      </c>
      <c r="L54" s="43">
        <f t="shared" si="15"/>
        <v>48.788615765052725</v>
      </c>
      <c r="M54" s="43">
        <f t="shared" si="15"/>
        <v>55.632662678162831</v>
      </c>
      <c r="N54" s="43">
        <f t="shared" si="15"/>
        <v>56.963999999999999</v>
      </c>
      <c r="O54" s="43">
        <f t="shared" si="15"/>
        <v>53.433</v>
      </c>
      <c r="P54" s="43">
        <f t="shared" si="15"/>
        <v>57.633602046</v>
      </c>
      <c r="Q54" s="22"/>
    </row>
    <row r="55" spans="1:23" s="18" customFormat="1">
      <c r="D55" s="54" t="s">
        <v>50</v>
      </c>
      <c r="E55" s="14" t="s">
        <v>22</v>
      </c>
      <c r="F55" s="19"/>
      <c r="L55" s="46">
        <f>SUM(L49:L54)</f>
        <v>78.216071678026907</v>
      </c>
      <c r="M55" s="46">
        <f t="shared" ref="M55:P55" si="16">SUM(M49:M54)</f>
        <v>86.192044015030106</v>
      </c>
      <c r="N55" s="46">
        <f t="shared" si="16"/>
        <v>90.287000000000006</v>
      </c>
      <c r="O55" s="46">
        <f t="shared" si="16"/>
        <v>85.207999999999998</v>
      </c>
      <c r="P55" s="46">
        <f t="shared" si="16"/>
        <v>88.296470373999995</v>
      </c>
      <c r="Q55" s="22"/>
      <c r="R55" s="22"/>
      <c r="S55" s="22"/>
      <c r="T55" s="22"/>
      <c r="U55" s="22"/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Q56" s="22"/>
      <c r="R56" s="22"/>
      <c r="S56" s="22"/>
      <c r="T56" s="22"/>
      <c r="U56" s="22"/>
      <c r="W56" s="22"/>
    </row>
    <row r="57" spans="1:23" s="18" customFormat="1">
      <c r="D57" s="49"/>
      <c r="E57" s="14" t="s">
        <v>79</v>
      </c>
      <c r="F57" s="19"/>
      <c r="L57" s="42"/>
      <c r="M57" s="42"/>
      <c r="N57" s="42"/>
      <c r="O57" s="42"/>
      <c r="P57" s="42"/>
      <c r="Q57" s="37"/>
      <c r="R57" s="37"/>
      <c r="S57" s="37"/>
      <c r="T57" s="37"/>
      <c r="U57" s="37"/>
      <c r="W57" s="37"/>
    </row>
    <row r="58" spans="1:23" s="18" customFormat="1">
      <c r="A58" s="8">
        <v>1</v>
      </c>
      <c r="D58" s="54" t="s">
        <v>50</v>
      </c>
      <c r="E58" s="45" t="str">
        <f t="shared" ref="E58:E63" si="17">INDEX(Customer.List,A58)</f>
        <v>Unmetered water-only customer</v>
      </c>
      <c r="F58" s="59" t="s">
        <v>45</v>
      </c>
      <c r="L58" s="43">
        <f t="shared" ref="L58:P63" si="18">L40-L49</f>
        <v>0.41176142995923271</v>
      </c>
      <c r="M58" s="43">
        <f t="shared" si="18"/>
        <v>0.52446655713553469</v>
      </c>
      <c r="N58" s="43">
        <f t="shared" si="18"/>
        <v>0.10630427999999981</v>
      </c>
      <c r="O58" s="43">
        <f t="shared" si="18"/>
        <v>0.22592016000000004</v>
      </c>
      <c r="P58" s="43">
        <f t="shared" si="18"/>
        <v>0.13355630999999968</v>
      </c>
    </row>
    <row r="59" spans="1:23" s="18" customFormat="1">
      <c r="A59" s="8">
        <v>2</v>
      </c>
      <c r="D59" s="54" t="s">
        <v>50</v>
      </c>
      <c r="E59" s="45" t="str">
        <f t="shared" si="17"/>
        <v>Unmetered wastewater-only customer</v>
      </c>
      <c r="F59" s="59" t="s">
        <v>45</v>
      </c>
      <c r="L59" s="43">
        <f t="shared" si="18"/>
        <v>1.278617169959233</v>
      </c>
      <c r="M59" s="43">
        <f t="shared" si="18"/>
        <v>1.2923361538359828</v>
      </c>
      <c r="N59" s="43">
        <f t="shared" si="18"/>
        <v>0.50747031999999859</v>
      </c>
      <c r="O59" s="43">
        <f t="shared" si="18"/>
        <v>0.67370591999999974</v>
      </c>
      <c r="P59" s="43">
        <f t="shared" si="18"/>
        <v>0.37340584999999926</v>
      </c>
    </row>
    <row r="60" spans="1:23" s="18" customFormat="1">
      <c r="A60" s="8">
        <v>3</v>
      </c>
      <c r="D60" s="54" t="s">
        <v>50</v>
      </c>
      <c r="E60" s="45" t="str">
        <f t="shared" si="17"/>
        <v>Unmetered water and wastewater customer</v>
      </c>
      <c r="F60" s="59" t="s">
        <v>45</v>
      </c>
      <c r="L60" s="43">
        <f t="shared" si="18"/>
        <v>-1.5038396799184657</v>
      </c>
      <c r="M60" s="43">
        <f t="shared" si="18"/>
        <v>-1.2375815209715153</v>
      </c>
      <c r="N60" s="43">
        <f t="shared" si="18"/>
        <v>-2.7880737999999994</v>
      </c>
      <c r="O60" s="43">
        <f t="shared" si="18"/>
        <v>-2.2112614300000004</v>
      </c>
      <c r="P60" s="43">
        <f t="shared" si="18"/>
        <v>-2.6487929179999989</v>
      </c>
      <c r="Q60" s="22"/>
    </row>
    <row r="61" spans="1:23" s="18" customFormat="1">
      <c r="A61" s="8">
        <v>4</v>
      </c>
      <c r="D61" s="54" t="s">
        <v>50</v>
      </c>
      <c r="E61" s="45" t="str">
        <f t="shared" si="17"/>
        <v>Metered water-only customer</v>
      </c>
      <c r="F61" s="59" t="s">
        <v>45</v>
      </c>
      <c r="L61" s="43">
        <f t="shared" si="18"/>
        <v>0.7488664033444743</v>
      </c>
      <c r="M61" s="43">
        <f t="shared" si="18"/>
        <v>0.19391618139504052</v>
      </c>
      <c r="N61" s="43">
        <f t="shared" si="18"/>
        <v>0.16647440000000069</v>
      </c>
      <c r="O61" s="43">
        <f t="shared" si="18"/>
        <v>0.71494466999999995</v>
      </c>
      <c r="P61" s="43">
        <f t="shared" si="18"/>
        <v>1.1201081279999987</v>
      </c>
    </row>
    <row r="62" spans="1:23" s="18" customFormat="1">
      <c r="A62" s="8">
        <v>5</v>
      </c>
      <c r="D62" s="54" t="s">
        <v>50</v>
      </c>
      <c r="E62" s="45" t="str">
        <f t="shared" si="17"/>
        <v>Metered wastewater-only customer</v>
      </c>
      <c r="F62" s="59" t="s">
        <v>45</v>
      </c>
      <c r="L62" s="43">
        <f t="shared" si="18"/>
        <v>3.5232386036813477</v>
      </c>
      <c r="M62" s="43">
        <f t="shared" si="18"/>
        <v>2.5802097317376784</v>
      </c>
      <c r="N62" s="43">
        <f t="shared" si="18"/>
        <v>2.1834017599999989</v>
      </c>
      <c r="O62" s="43">
        <f t="shared" si="18"/>
        <v>3.7970724799999971</v>
      </c>
      <c r="P62" s="43">
        <f t="shared" si="18"/>
        <v>5.1638946220000026</v>
      </c>
    </row>
    <row r="63" spans="1:23" s="18" customFormat="1">
      <c r="A63" s="8">
        <v>6</v>
      </c>
      <c r="D63" s="54" t="s">
        <v>50</v>
      </c>
      <c r="E63" s="45" t="str">
        <f t="shared" si="17"/>
        <v>Meterered water and wastewater customer</v>
      </c>
      <c r="F63" s="59" t="s">
        <v>45</v>
      </c>
      <c r="L63" s="43">
        <f t="shared" si="18"/>
        <v>-2.3861244050527262</v>
      </c>
      <c r="M63" s="43">
        <f t="shared" si="18"/>
        <v>-7.4686696581628382</v>
      </c>
      <c r="N63" s="43">
        <f t="shared" si="18"/>
        <v>-6.2275067100000072</v>
      </c>
      <c r="O63" s="43">
        <f t="shared" si="18"/>
        <v>-1.9076447699999974</v>
      </c>
      <c r="P63" s="43">
        <f t="shared" si="18"/>
        <v>-3.8357565359999981</v>
      </c>
      <c r="Q63" s="22"/>
    </row>
    <row r="64" spans="1:23" s="18" customFormat="1">
      <c r="D64" s="54" t="s">
        <v>50</v>
      </c>
      <c r="E64" s="14" t="s">
        <v>22</v>
      </c>
      <c r="F64" s="19"/>
      <c r="L64" s="46">
        <f>SUM(L58:L63)</f>
        <v>2.0725195219730956</v>
      </c>
      <c r="M64" s="46">
        <f t="shared" ref="M64:P64" si="19">SUM(M58:M63)</f>
        <v>-4.1153225550301169</v>
      </c>
      <c r="N64" s="46">
        <f t="shared" si="19"/>
        <v>-6.0519297500000082</v>
      </c>
      <c r="O64" s="46">
        <f t="shared" si="19"/>
        <v>1.2927370299999987</v>
      </c>
      <c r="P64" s="46">
        <f t="shared" si="19"/>
        <v>0.30641545600000342</v>
      </c>
      <c r="R64" s="22"/>
      <c r="S64" s="22"/>
      <c r="T64" s="22"/>
      <c r="U64" s="22"/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R65" s="22"/>
      <c r="S65" s="22"/>
      <c r="T65" s="22"/>
      <c r="U65" s="22"/>
      <c r="W65" s="22"/>
    </row>
    <row r="66" spans="1:23" s="18" customFormat="1">
      <c r="D66" s="54" t="s">
        <v>50</v>
      </c>
      <c r="E66" s="14" t="s">
        <v>80</v>
      </c>
      <c r="F66" s="19"/>
      <c r="L66" s="39"/>
      <c r="M66" s="39"/>
      <c r="N66" s="39"/>
      <c r="O66" s="39"/>
      <c r="P66" s="53">
        <f>SUM(L64:P64)</f>
        <v>-6.4955802970570273</v>
      </c>
      <c r="R66" s="22"/>
      <c r="S66" s="22"/>
      <c r="T66" s="22"/>
      <c r="U66" s="22"/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R67" s="22"/>
      <c r="S67" s="22"/>
      <c r="T67" s="22"/>
      <c r="U67" s="22"/>
      <c r="W67" s="22"/>
    </row>
    <row r="68" spans="1:23" s="18" customFormat="1">
      <c r="D68" s="49"/>
      <c r="E68" s="14" t="s">
        <v>42</v>
      </c>
      <c r="F68" s="19"/>
      <c r="L68" s="42"/>
      <c r="M68" s="42"/>
      <c r="N68" s="42"/>
      <c r="O68" s="42"/>
      <c r="P68" s="42"/>
      <c r="R68" s="37"/>
      <c r="S68" s="37"/>
      <c r="T68" s="37"/>
      <c r="U68" s="37"/>
      <c r="W68" s="37"/>
    </row>
    <row r="69" spans="1:23" s="18" customFormat="1">
      <c r="A69" s="8">
        <v>1</v>
      </c>
      <c r="D69" s="54" t="s">
        <v>50</v>
      </c>
      <c r="E69" s="45" t="str">
        <f t="shared" ref="E69:E74" si="20">INDEX(Customer.List,A69)</f>
        <v>Unmetered water-only customer</v>
      </c>
      <c r="F69" s="59" t="s">
        <v>45</v>
      </c>
      <c r="L69" s="43">
        <f>SUM(L29,L58)</f>
        <v>0.59912498995923269</v>
      </c>
      <c r="M69" s="43">
        <f t="shared" ref="L69:P74" si="21">SUM(M29,M58)</f>
        <v>0.62036425713553467</v>
      </c>
      <c r="N69" s="43">
        <f t="shared" si="21"/>
        <v>0.34730919999999976</v>
      </c>
      <c r="O69" s="43">
        <f t="shared" si="21"/>
        <v>0.31195632000000006</v>
      </c>
      <c r="P69" s="43">
        <f t="shared" si="21"/>
        <v>0.26091522</v>
      </c>
    </row>
    <row r="70" spans="1:23" s="18" customFormat="1">
      <c r="A70" s="8">
        <v>2</v>
      </c>
      <c r="D70" s="54" t="s">
        <v>50</v>
      </c>
      <c r="E70" s="45" t="str">
        <f t="shared" si="20"/>
        <v>Unmetered wastewater-only customer</v>
      </c>
      <c r="F70" s="59" t="s">
        <v>45</v>
      </c>
      <c r="L70" s="43">
        <f t="shared" si="21"/>
        <v>1.5530661399592338</v>
      </c>
      <c r="M70" s="43">
        <f t="shared" si="21"/>
        <v>1.5565063138359827</v>
      </c>
      <c r="N70" s="43">
        <f t="shared" si="21"/>
        <v>0.9001397199999992</v>
      </c>
      <c r="O70" s="43">
        <f t="shared" si="21"/>
        <v>0.80276015999999972</v>
      </c>
      <c r="P70" s="43">
        <f t="shared" si="21"/>
        <v>0.47613301999999924</v>
      </c>
    </row>
    <row r="71" spans="1:23" s="18" customFormat="1">
      <c r="A71" s="8">
        <v>3</v>
      </c>
      <c r="D71" s="54" t="s">
        <v>50</v>
      </c>
      <c r="E71" s="45" t="str">
        <f t="shared" si="20"/>
        <v>Unmetered water and wastewater customer</v>
      </c>
      <c r="F71" s="59" t="s">
        <v>45</v>
      </c>
      <c r="L71" s="43">
        <f t="shared" si="21"/>
        <v>-1.2984162399184656</v>
      </c>
      <c r="M71" s="43">
        <f t="shared" si="21"/>
        <v>-1.1638164809715152</v>
      </c>
      <c r="N71" s="43">
        <f t="shared" si="21"/>
        <v>-2.5078626799999992</v>
      </c>
      <c r="O71" s="43">
        <f t="shared" si="21"/>
        <v>-2.5181536600000003</v>
      </c>
      <c r="P71" s="43">
        <f t="shared" si="21"/>
        <v>-2.7714525179999989</v>
      </c>
    </row>
    <row r="72" spans="1:23" s="18" customFormat="1">
      <c r="A72" s="8">
        <v>4</v>
      </c>
      <c r="D72" s="54" t="s">
        <v>50</v>
      </c>
      <c r="E72" s="45" t="str">
        <f t="shared" si="20"/>
        <v>Metered water-only customer</v>
      </c>
      <c r="F72" s="59" t="s">
        <v>45</v>
      </c>
      <c r="L72" s="43">
        <f t="shared" si="21"/>
        <v>0.69819614334447466</v>
      </c>
      <c r="M72" s="43">
        <f t="shared" si="21"/>
        <v>0.55251468139504056</v>
      </c>
      <c r="N72" s="43">
        <f t="shared" si="21"/>
        <v>0.5308304000000007</v>
      </c>
      <c r="O72" s="43">
        <f t="shared" si="21"/>
        <v>0.78477182999999995</v>
      </c>
      <c r="P72" s="43">
        <f t="shared" si="21"/>
        <v>1.108850928000001</v>
      </c>
      <c r="U72" s="30"/>
      <c r="W72" s="30"/>
    </row>
    <row r="73" spans="1:23" s="18" customFormat="1">
      <c r="A73" s="8">
        <v>5</v>
      </c>
      <c r="D73" s="54" t="s">
        <v>50</v>
      </c>
      <c r="E73" s="45" t="str">
        <f t="shared" si="20"/>
        <v>Metered wastewater-only customer</v>
      </c>
      <c r="F73" s="59" t="s">
        <v>45</v>
      </c>
      <c r="L73" s="43">
        <f t="shared" si="21"/>
        <v>3.3281323636813478</v>
      </c>
      <c r="M73" s="43">
        <f t="shared" si="21"/>
        <v>2.7308523717376785</v>
      </c>
      <c r="N73" s="43">
        <f t="shared" si="21"/>
        <v>2.3770523599999986</v>
      </c>
      <c r="O73" s="43">
        <f t="shared" si="21"/>
        <v>3.7688821999999971</v>
      </c>
      <c r="P73" s="43">
        <f t="shared" si="21"/>
        <v>5.1099225220000024</v>
      </c>
    </row>
    <row r="74" spans="1:23" s="18" customFormat="1">
      <c r="A74" s="8">
        <v>6</v>
      </c>
      <c r="D74" s="54" t="s">
        <v>50</v>
      </c>
      <c r="E74" s="45" t="str">
        <f t="shared" si="20"/>
        <v>Meterered water and wastewater customer</v>
      </c>
      <c r="F74" s="59" t="s">
        <v>45</v>
      </c>
      <c r="L74" s="43">
        <f t="shared" si="21"/>
        <v>-3.4517569850527261</v>
      </c>
      <c r="M74" s="43">
        <f t="shared" si="21"/>
        <v>-7.7430659781628384</v>
      </c>
      <c r="N74" s="43">
        <f t="shared" si="21"/>
        <v>-7.1708170500000072</v>
      </c>
      <c r="O74" s="43">
        <f t="shared" si="21"/>
        <v>-1.6682482799999974</v>
      </c>
      <c r="P74" s="43">
        <f t="shared" si="21"/>
        <v>-3.9940724159999981</v>
      </c>
    </row>
    <row r="75" spans="1:23" s="18" customFormat="1">
      <c r="D75" s="54" t="s">
        <v>50</v>
      </c>
      <c r="E75" s="14" t="s">
        <v>22</v>
      </c>
      <c r="F75" s="19"/>
      <c r="L75" s="46">
        <f>SUM(L69:L74)</f>
        <v>1.4283464119730978</v>
      </c>
      <c r="M75" s="46">
        <f t="shared" ref="M75:P75" si="22">SUM(M69:M74)</f>
        <v>-3.4466448350301171</v>
      </c>
      <c r="N75" s="46">
        <f t="shared" si="22"/>
        <v>-5.5233480500000081</v>
      </c>
      <c r="O75" s="46">
        <f t="shared" si="22"/>
        <v>1.4819685699999992</v>
      </c>
      <c r="P75" s="46">
        <f t="shared" si="22"/>
        <v>0.19029675600000573</v>
      </c>
      <c r="R75" s="22"/>
      <c r="S75" s="22"/>
      <c r="T75" s="22"/>
      <c r="U75" s="22"/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Q76" s="22"/>
      <c r="R76" s="22"/>
      <c r="S76" s="22"/>
      <c r="T76" s="22"/>
      <c r="U76" s="22"/>
      <c r="W76" s="22"/>
    </row>
    <row r="77" spans="1:23" s="18" customFormat="1">
      <c r="D77" s="54" t="s">
        <v>50</v>
      </c>
      <c r="E77" s="14" t="s">
        <v>48</v>
      </c>
      <c r="F77" s="19"/>
      <c r="L77" s="39"/>
      <c r="M77" s="39"/>
      <c r="N77" s="39"/>
      <c r="O77" s="39"/>
      <c r="P77" s="53">
        <f>SUM(L75:P75)</f>
        <v>-5.8693811470570223</v>
      </c>
      <c r="Q77" s="22"/>
      <c r="R77" s="22"/>
      <c r="S77" s="22"/>
      <c r="T77" s="22"/>
      <c r="U77" s="22"/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Q78" s="22"/>
      <c r="R78" s="22"/>
      <c r="S78" s="22"/>
      <c r="T78" s="22"/>
      <c r="U78" s="22"/>
      <c r="W78" s="22"/>
    </row>
    <row r="79" spans="1:23" s="18" customFormat="1">
      <c r="D79" s="31"/>
      <c r="E79" s="14" t="s">
        <v>51</v>
      </c>
      <c r="F79" s="19"/>
      <c r="L79" s="39"/>
      <c r="M79" s="39"/>
      <c r="N79" s="39"/>
      <c r="O79" s="39"/>
      <c r="P79" s="63"/>
      <c r="Q79" s="22"/>
      <c r="R79" s="22"/>
      <c r="S79" s="22"/>
      <c r="T79" s="22"/>
      <c r="U79" s="22"/>
      <c r="W79" s="22"/>
    </row>
    <row r="80" spans="1:23" s="18" customFormat="1">
      <c r="A80" s="79"/>
      <c r="B80" s="79"/>
      <c r="C80" s="79"/>
      <c r="D80" s="54" t="s">
        <v>50</v>
      </c>
      <c r="E80" s="66" t="s">
        <v>58</v>
      </c>
      <c r="F80" s="19" t="s">
        <v>45</v>
      </c>
      <c r="G80" s="66"/>
      <c r="H80" s="66"/>
      <c r="I80" s="66"/>
      <c r="J80" s="66"/>
      <c r="K80" s="68"/>
      <c r="L80" s="73">
        <f>0-L64</f>
        <v>-2.0725195219730956</v>
      </c>
      <c r="M80" s="73">
        <f t="shared" ref="M80:P80" si="23">0-M64</f>
        <v>4.1153225550301169</v>
      </c>
      <c r="N80" s="73">
        <f t="shared" si="23"/>
        <v>6.0519297500000082</v>
      </c>
      <c r="O80" s="73">
        <f t="shared" si="23"/>
        <v>-1.2927370299999987</v>
      </c>
      <c r="P80" s="73">
        <f t="shared" si="23"/>
        <v>-0.30641545600000342</v>
      </c>
      <c r="Q80" s="70"/>
      <c r="R80" s="22"/>
      <c r="S80" s="22"/>
      <c r="T80" s="22"/>
      <c r="U80" s="22"/>
      <c r="W80" s="41">
        <f>SUM(L80:P80)</f>
        <v>6.4955802970570273</v>
      </c>
    </row>
    <row r="81" spans="1:24" s="18" customFormat="1">
      <c r="A81" s="79"/>
      <c r="B81" s="79"/>
      <c r="C81" s="79"/>
      <c r="D81" s="54" t="s">
        <v>55</v>
      </c>
      <c r="E81" s="66" t="s">
        <v>59</v>
      </c>
      <c r="F81" s="19"/>
      <c r="G81" s="66"/>
      <c r="H81" s="66"/>
      <c r="I81" s="68"/>
      <c r="J81" s="68"/>
      <c r="K81" s="68"/>
      <c r="L81" s="73"/>
      <c r="M81" s="73"/>
      <c r="N81" s="73"/>
      <c r="O81" s="73"/>
      <c r="P81" s="73"/>
      <c r="Q81" s="22"/>
      <c r="R81" s="22"/>
      <c r="S81" s="22"/>
      <c r="T81" s="22"/>
      <c r="U81" s="22"/>
      <c r="W81" s="74">
        <f>IF(SUM(W35+W46)=0,0,W80/(W35+W46))</f>
        <v>1.5380335626923619E-2</v>
      </c>
    </row>
    <row r="82" spans="1:24" s="18" customFormat="1">
      <c r="A82" s="79"/>
      <c r="B82" s="79"/>
      <c r="C82" s="79"/>
      <c r="D82" s="67" t="s">
        <v>54</v>
      </c>
      <c r="E82" s="64" t="s">
        <v>61</v>
      </c>
      <c r="F82" s="19"/>
      <c r="G82" s="66"/>
      <c r="H82" s="66"/>
      <c r="I82" s="66"/>
      <c r="J82" s="66"/>
      <c r="K82" s="68"/>
      <c r="L82" s="39"/>
      <c r="M82" s="73"/>
      <c r="N82" s="73"/>
      <c r="O82" s="73"/>
      <c r="P82" s="73"/>
      <c r="Q82" s="22"/>
      <c r="R82" s="22"/>
      <c r="S82" s="22"/>
      <c r="T82" s="22"/>
      <c r="U82" s="22"/>
      <c r="W82" s="69" t="b">
        <f>ABS(W81)&gt;Materiality.Threshold</f>
        <v>0</v>
      </c>
    </row>
    <row r="83" spans="1:24" s="18" customFormat="1">
      <c r="A83" s="79"/>
      <c r="B83" s="79"/>
      <c r="C83" s="79"/>
      <c r="D83" s="31"/>
      <c r="E83" s="14"/>
      <c r="F83" s="19"/>
      <c r="L83" s="39"/>
      <c r="M83" s="39"/>
      <c r="N83" s="39"/>
      <c r="O83" s="39"/>
      <c r="P83" s="63"/>
      <c r="Q83" s="22"/>
      <c r="R83" s="22"/>
      <c r="S83" s="22"/>
      <c r="T83" s="22"/>
      <c r="U83" s="22"/>
      <c r="W83" s="22"/>
    </row>
    <row r="84" spans="1:24" s="18" customFormat="1">
      <c r="A84" s="79"/>
      <c r="B84" s="79"/>
      <c r="C84" s="79"/>
      <c r="D84" s="31"/>
      <c r="E84" s="14" t="s">
        <v>52</v>
      </c>
      <c r="F84" s="19"/>
      <c r="L84" s="39"/>
      <c r="M84" s="39"/>
      <c r="N84" s="39"/>
      <c r="O84" s="39"/>
      <c r="P84" s="39"/>
      <c r="Q84" s="22"/>
      <c r="R84" s="22"/>
      <c r="S84" s="22"/>
      <c r="T84" s="22"/>
      <c r="U84" s="22"/>
      <c r="W84" s="22"/>
    </row>
    <row r="85" spans="1:24" s="18" customFormat="1">
      <c r="A85" s="79"/>
      <c r="B85" s="79"/>
      <c r="C85" s="79"/>
      <c r="D85" s="31"/>
      <c r="E85" s="14"/>
      <c r="F85" s="19"/>
      <c r="L85" s="39"/>
      <c r="M85" s="39"/>
      <c r="N85" s="39"/>
      <c r="O85" s="39"/>
      <c r="P85" s="78"/>
      <c r="Q85" s="22"/>
      <c r="R85" s="22"/>
      <c r="S85" s="22"/>
      <c r="T85" s="22"/>
      <c r="U85" s="22"/>
      <c r="W85" s="22"/>
    </row>
    <row r="86" spans="1:24" s="18" customFormat="1">
      <c r="A86" s="8">
        <v>1</v>
      </c>
      <c r="B86" s="79"/>
      <c r="C86" s="79"/>
      <c r="D86" s="54" t="s">
        <v>50</v>
      </c>
      <c r="E86" s="64" t="s">
        <v>64</v>
      </c>
      <c r="F86" s="19" t="s">
        <v>45</v>
      </c>
      <c r="H86"/>
      <c r="I86"/>
      <c r="J86"/>
      <c r="K86"/>
      <c r="L86" s="73">
        <f>INDEX($L$75:$P$75,1,$A86)</f>
        <v>1.4283464119730978</v>
      </c>
      <c r="M86" s="73">
        <f>L86*(1+Discount.Rate)</f>
        <v>1.4797668828041293</v>
      </c>
      <c r="N86" s="73">
        <f>M86*(1+Discount.Rate)</f>
        <v>1.533038490585078</v>
      </c>
      <c r="O86" s="73">
        <f>N86*(1+Discount.Rate)</f>
        <v>1.5882278762461408</v>
      </c>
      <c r="P86" s="73">
        <f>O86*(1+Discount.Rate)</f>
        <v>1.6454040797910019</v>
      </c>
      <c r="R86" s="22"/>
      <c r="S86" s="22"/>
      <c r="T86" s="22"/>
      <c r="U86" s="22"/>
      <c r="W86" s="22"/>
    </row>
    <row r="87" spans="1:24" s="18" customFormat="1">
      <c r="A87" s="8">
        <v>2</v>
      </c>
      <c r="B87" s="79"/>
      <c r="C87" s="79"/>
      <c r="D87" s="54" t="s">
        <v>50</v>
      </c>
      <c r="E87" s="64" t="s">
        <v>67</v>
      </c>
      <c r="F87" s="19" t="s">
        <v>45</v>
      </c>
      <c r="H87"/>
      <c r="I87"/>
      <c r="J87"/>
      <c r="K87"/>
      <c r="L87" s="73"/>
      <c r="M87" s="73">
        <f>INDEX($L$75:$P$75,1,$A87)</f>
        <v>-3.4466448350301171</v>
      </c>
      <c r="N87" s="73">
        <f>M87*(1+Discount.Rate)</f>
        <v>-3.5707240490912016</v>
      </c>
      <c r="O87" s="73">
        <f>N87*(1+Discount.Rate)</f>
        <v>-3.6992701148584848</v>
      </c>
      <c r="P87" s="73">
        <f>O87*(1+Discount.Rate)</f>
        <v>-3.8324438389933904</v>
      </c>
      <c r="R87" s="22"/>
      <c r="S87" s="22"/>
      <c r="T87" s="22"/>
      <c r="U87" s="22"/>
      <c r="W87" s="22"/>
    </row>
    <row r="88" spans="1:24" s="18" customFormat="1">
      <c r="A88" s="8">
        <v>3</v>
      </c>
      <c r="B88" s="79"/>
      <c r="C88" s="79"/>
      <c r="D88" s="54" t="s">
        <v>50</v>
      </c>
      <c r="E88" s="64" t="s">
        <v>65</v>
      </c>
      <c r="F88" s="19" t="s">
        <v>45</v>
      </c>
      <c r="H88"/>
      <c r="I88"/>
      <c r="J88"/>
      <c r="K88"/>
      <c r="L88" s="73"/>
      <c r="M88" s="73"/>
      <c r="N88" s="73">
        <f>INDEX($L$75:$P$75,1,$A88)</f>
        <v>-5.5233480500000081</v>
      </c>
      <c r="O88" s="73">
        <f>N88*(1+Discount.Rate)</f>
        <v>-5.7221885798000089</v>
      </c>
      <c r="P88" s="73">
        <f>O88*(1+Discount.Rate)</f>
        <v>-5.928187368672809</v>
      </c>
      <c r="R88" s="22"/>
      <c r="S88" s="22"/>
      <c r="T88" s="22"/>
      <c r="U88" s="22"/>
      <c r="W88" s="22"/>
    </row>
    <row r="89" spans="1:24" s="18" customFormat="1">
      <c r="A89" s="8">
        <v>4</v>
      </c>
      <c r="B89" s="79"/>
      <c r="C89" s="79"/>
      <c r="D89" s="54" t="s">
        <v>50</v>
      </c>
      <c r="E89" s="64" t="s">
        <v>66</v>
      </c>
      <c r="F89" s="19" t="s">
        <v>45</v>
      </c>
      <c r="H89"/>
      <c r="I89"/>
      <c r="J89"/>
      <c r="K89"/>
      <c r="L89" s="73"/>
      <c r="M89" s="73"/>
      <c r="N89" s="73"/>
      <c r="O89" s="73">
        <f>INDEX($L$75:$P$75,1,$A89)</f>
        <v>1.4819685699999992</v>
      </c>
      <c r="P89" s="73">
        <f>O89*(1+Discount.Rate)</f>
        <v>1.5353194385199991</v>
      </c>
      <c r="R89" s="22"/>
      <c r="S89" s="22"/>
      <c r="T89" s="22"/>
      <c r="U89" s="22"/>
      <c r="W89" s="22"/>
    </row>
    <row r="90" spans="1:24" s="18" customFormat="1">
      <c r="A90" s="8">
        <v>5</v>
      </c>
      <c r="B90" s="79"/>
      <c r="C90" s="79"/>
      <c r="D90" s="54" t="s">
        <v>50</v>
      </c>
      <c r="E90" s="64" t="s">
        <v>68</v>
      </c>
      <c r="F90" s="19" t="s">
        <v>45</v>
      </c>
      <c r="H90"/>
      <c r="I90"/>
      <c r="J90"/>
      <c r="K90"/>
      <c r="L90" s="73"/>
      <c r="M90" s="73"/>
      <c r="N90" s="73"/>
      <c r="O90" s="73"/>
      <c r="P90" s="73">
        <f>INDEX($L$75:$P$75,1,$A90)</f>
        <v>0.19029675600000573</v>
      </c>
      <c r="R90" s="22"/>
      <c r="S90" s="22"/>
      <c r="T90" s="22"/>
      <c r="U90" s="22"/>
      <c r="W90" s="22"/>
    </row>
    <row r="91" spans="1:24" s="18" customFormat="1">
      <c r="A91" s="54"/>
      <c r="B91" s="80"/>
      <c r="C91" s="80"/>
      <c r="D91" s="54"/>
      <c r="E91" s="64"/>
      <c r="F91" s="19"/>
      <c r="H91"/>
      <c r="I91"/>
      <c r="J91"/>
      <c r="K91"/>
      <c r="L91" s="70"/>
      <c r="M91" s="70"/>
      <c r="N91" s="70"/>
      <c r="O91" s="70"/>
      <c r="P91" s="70"/>
      <c r="R91" s="22"/>
      <c r="S91" s="22"/>
      <c r="T91" s="22"/>
      <c r="U91" s="22"/>
      <c r="W91" s="22"/>
    </row>
    <row r="92" spans="1:24" s="18" customFormat="1">
      <c r="A92" s="79"/>
      <c r="B92" s="79"/>
      <c r="C92" s="79"/>
      <c r="D92" s="54" t="s">
        <v>50</v>
      </c>
      <c r="E92" s="72" t="s">
        <v>72</v>
      </c>
      <c r="F92" s="19" t="s">
        <v>45</v>
      </c>
      <c r="H92"/>
      <c r="I92"/>
      <c r="J92"/>
      <c r="K92"/>
      <c r="L92" s="70"/>
      <c r="M92" s="70"/>
      <c r="N92" s="70"/>
      <c r="O92" s="70"/>
      <c r="P92" s="53">
        <f>SUM(P86:P90)</f>
        <v>-6.3896109333551925</v>
      </c>
      <c r="R92" s="22"/>
      <c r="S92" s="22"/>
      <c r="T92" s="22"/>
      <c r="U92" s="22"/>
      <c r="W92" s="22"/>
    </row>
    <row r="93" spans="1:24" s="18" customFormat="1">
      <c r="A93" s="79"/>
      <c r="B93" s="79"/>
      <c r="C93" s="79"/>
      <c r="D93"/>
      <c r="E93" s="64"/>
      <c r="F93" s="57"/>
      <c r="H93"/>
      <c r="I93"/>
      <c r="J93"/>
      <c r="K93"/>
      <c r="L93"/>
      <c r="M93"/>
      <c r="N93"/>
      <c r="O93"/>
      <c r="P93"/>
      <c r="R93" s="22"/>
      <c r="S93" s="22"/>
      <c r="T93" s="22"/>
      <c r="U93" s="22"/>
      <c r="W93" s="22"/>
    </row>
    <row r="94" spans="1:24" s="18" customFormat="1">
      <c r="A94" s="79"/>
      <c r="B94" s="79"/>
      <c r="C94" s="79"/>
      <c r="D94" s="54" t="s">
        <v>50</v>
      </c>
      <c r="E94" s="65" t="s">
        <v>53</v>
      </c>
      <c r="F94" s="19" t="s">
        <v>45</v>
      </c>
      <c r="H94"/>
      <c r="I94"/>
      <c r="J94"/>
      <c r="K94"/>
      <c r="L94"/>
      <c r="M94"/>
      <c r="N94"/>
      <c r="O94"/>
      <c r="P94" s="53">
        <f>IF(W82,P92,P77)</f>
        <v>-5.8693811470570223</v>
      </c>
      <c r="R94" s="22"/>
      <c r="S94" s="22"/>
      <c r="T94" s="22"/>
      <c r="U94" s="22"/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Q95" s="22"/>
      <c r="R95" s="22"/>
      <c r="S95" s="22"/>
      <c r="T95" s="22"/>
      <c r="U95" s="22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>
      <c r="F97" s="19"/>
    </row>
    <row r="98" spans="6:6" s="18" customFormat="1" hidden="1">
      <c r="F98" s="19"/>
    </row>
    <row r="99" spans="6:6" s="18" customFormat="1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0" style="3" bestFit="1" customWidth="1"/>
    <col min="6" max="8" width="2.7109375" style="3" customWidth="1"/>
    <col min="9" max="21" width="9.7109375" style="3" customWidth="1"/>
    <col min="22" max="23" width="9.140625" style="3" customWidth="1"/>
    <col min="24" max="16384" width="0" style="3" hidden="1"/>
  </cols>
  <sheetData>
    <row r="1" spans="1:23" ht="33.7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5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44" t="s">
        <v>38</v>
      </c>
    </row>
    <row r="18" spans="1:2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Inputs</vt:lpstr>
      <vt:lpstr>Calcs</vt:lpstr>
      <vt:lpstr>Lists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AWS User</cp:lastModifiedBy>
  <cp:lastPrinted>2015-02-04T18:19:40Z</cp:lastPrinted>
  <dcterms:created xsi:type="dcterms:W3CDTF">2015-02-03T17:19:53Z</dcterms:created>
  <dcterms:modified xsi:type="dcterms:W3CDTF">2019-07-02T14:49:51Z</dcterms:modified>
</cp:coreProperties>
</file>